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BEFA4CCB-95FF-46BB-A675-34746CBBCE60}" xr6:coauthVersionLast="47" xr6:coauthVersionMax="47" xr10:uidLastSave="{00000000-0000-0000-0000-000000000000}"/>
  <workbookProtection workbookAlgorithmName="SHA-512" workbookHashValue="Vwi1OTdCw9qJaB2vf3yeSbGfTmkKArZdZ3Z2yN+3C9Npc6hBDFKItCALkqk3VvmxWlv2/6b+9GywgoMovxeeaw==" workbookSaltValue="1VpSreCCsMOZ3GWK0Z59Sw==" workbookSpinCount="100000" lockStructure="1"/>
  <bookViews>
    <workbookView xWindow="5535" yWindow="-16320" windowWidth="29040" windowHeight="15720" xr2:uid="{70C1AA1D-BA83-4990-86ED-1120C4C91D39}"/>
  </bookViews>
  <sheets>
    <sheet name="Scenario"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amp; TTRO workings" sheetId="18" state="hidden" r:id="rId14"/>
    <sheet name="Permits" sheetId="16"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's45'!$H$33</definedName>
    <definedName name="Pal_Workbook_GUID" hidden="1">"Z2GW74AZ8GSYM4MVQVT9DPHH"</definedName>
    <definedName name="_xlnm.Print_Area" localSheetId="2">'s45'!$B$1:$G$35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L23" i="2" s="1"/>
  <c r="J24" i="2"/>
  <c r="L24" i="2" s="1"/>
  <c r="J8" i="2"/>
  <c r="F5" i="5"/>
  <c r="H3" i="15"/>
  <c r="H2" i="15"/>
  <c r="G3" i="15"/>
  <c r="G2" i="15"/>
  <c r="F16" i="5"/>
  <c r="F12" i="5"/>
  <c r="A4" i="15"/>
  <c r="A3" i="15"/>
  <c r="L4" i="12"/>
  <c r="F8" i="7" l="1"/>
  <c r="E26" i="14"/>
  <c r="F26" i="14" s="1"/>
  <c r="E25" i="14"/>
  <c r="F25" i="14" s="1"/>
  <c r="E24" i="14"/>
  <c r="F9" i="14"/>
  <c r="F13" i="14" l="1"/>
  <c r="F8" i="5"/>
  <c r="F28" i="14" l="1"/>
  <c r="F29" i="14"/>
  <c r="L31" i="1"/>
  <c r="L32" i="1"/>
  <c r="L28" i="1"/>
  <c r="E3" i="15" l="1"/>
  <c r="E2" i="15"/>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T35" i="16" l="1"/>
  <c r="AT35" i="16"/>
  <c r="AR35" i="16"/>
  <c r="AP35" i="16"/>
  <c r="AN35" i="16"/>
  <c r="AL35" i="16"/>
  <c r="AJ35" i="16"/>
  <c r="AH35" i="16"/>
  <c r="AF35" i="16"/>
  <c r="AD35" i="16"/>
  <c r="AB35" i="16"/>
  <c r="Z35" i="16"/>
  <c r="X35" i="16"/>
  <c r="V35" i="16"/>
  <c r="R35" i="16"/>
  <c r="P35" i="16"/>
  <c r="N35" i="16"/>
  <c r="L35" i="16"/>
  <c r="J35" i="16"/>
  <c r="H35" i="16"/>
  <c r="F35" i="16"/>
  <c r="D35"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F14" i="16" l="1"/>
  <c r="H14" i="16"/>
  <c r="J14" i="16"/>
  <c r="L14" i="16"/>
  <c r="N14" i="16"/>
  <c r="P14" i="16"/>
  <c r="R14" i="16"/>
  <c r="T14" i="16"/>
  <c r="C16" i="16" s="1"/>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8" i="16" l="1"/>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E1" i="9"/>
  <c r="J12" i="2" s="1"/>
  <c r="L12" i="2" s="1"/>
  <c r="E1" i="11"/>
  <c r="J14" i="2" s="1"/>
  <c r="L14" i="2" s="1"/>
  <c r="E1" i="10"/>
  <c r="J13" i="2" s="1"/>
  <c r="K1" i="6"/>
  <c r="K5" i="2" s="1"/>
  <c r="E1" i="8"/>
  <c r="J7" i="2" s="1"/>
  <c r="E1" i="13"/>
  <c r="J16" i="2" s="1"/>
  <c r="K16" i="2"/>
  <c r="F13" i="12"/>
  <c r="E1" i="12" s="1"/>
  <c r="K1" i="7"/>
  <c r="K6" i="2" s="1"/>
  <c r="M20" i="5"/>
  <c r="K1" i="10"/>
  <c r="K13" i="2" s="1"/>
  <c r="J26" i="2" l="1"/>
  <c r="L26" i="2" s="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<sst xmlns="http://schemas.openxmlformats.org/spreadsheetml/2006/main" count="1070" uniqueCount="430">
  <si>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</si>
  <si>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</si>
  <si>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</si>
  <si>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</si>
  <si>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</si>
  <si>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</si>
  <si>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</si>
  <si>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</si>
  <si>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</si>
  <si>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</si>
  <si>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</si>
  <si>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</si>
  <si>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</si>
  <si>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</si>
  <si>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</si>
  <si>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</si>
  <si>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</si>
  <si>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</si>
  <si>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</si>
  <si>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</si>
  <si>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</si>
  <si>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</si>
  <si>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</si>
  <si>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</si>
  <si>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</si>
  <si>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</si>
  <si>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</si>
  <si>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</si>
  <si>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</si>
  <si>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</si>
  <si>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</si>
  <si>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</si>
  <si>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</si>
  <si>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</si>
  <si>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</si>
  <si>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</si>
  <si>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</si>
  <si>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</si>
  <si>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</si>
  <si>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</si>
  <si>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</si>
  <si>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</si>
  <si>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</si>
  <si>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</si>
  <si>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</si>
  <si>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</si>
  <si>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</si>
  <si>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</si>
  <si>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</si>
  <si>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</si>
  <si>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</si>
  <si>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</si>
  <si>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</si>
  <si>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</si>
  <si>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</si>
  <si>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</si>
  <si>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</si>
  <si>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</si>
  <si>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</si>
  <si>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</si>
  <si>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</si>
  <si>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</si>
  <si>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</si>
  <si>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</si>
  <si>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</si>
  <si>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</si>
  <si>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</si>
  <si>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</si>
  <si>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</si>
  <si>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</si>
  <si>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</si>
  <si>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</si>
  <si>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</si>
  <si>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</si>
  <si>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</si>
  <si>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</si>
  <si>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</si>
  <si>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</si>
  <si>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</si>
  <si>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</si>
  <si>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</si>
  <si>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</si>
  <si>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</si>
  <si>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</si>
  <si>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</si>
  <si>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</si>
  <si>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</si>
  <si>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</si>
  <si>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</si>
  <si>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</si>
  <si>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</si>
  <si>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</si>
  <si>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</si>
  <si>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</si>
  <si>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</si>
  <si>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</si>
  <si>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</si>
  <si>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</si>
  <si>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</si>
  <si>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</si>
  <si>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</si>
  <si>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</si>
  <si>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</si>
  <si>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</si>
  <si>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</si>
  <si>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</si>
  <si>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</si>
  <si>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</si>
  <si>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</si>
  <si>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</si>
  <si>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</si>
  <si>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</si>
  <si>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</si>
  <si>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</si>
  <si>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</si>
  <si>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</si>
  <si>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</si>
  <si>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</si>
  <si>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</si>
  <si>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</si>
  <si>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</si>
  <si>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</si>
  <si>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</si>
  <si>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</si>
  <si>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</si>
  <si>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</si>
  <si>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</si>
  <si>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</si>
  <si>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</si>
  <si>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</si>
  <si>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</si>
  <si>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</si>
  <si>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</si>
  <si>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</si>
  <si>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</si>
  <si>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</si>
  <si>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</si>
  <si>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</si>
  <si>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</si>
  <si>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</si>
  <si>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</si>
  <si>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</si>
  <si>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</si>
  <si>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</si>
  <si>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</si>
  <si>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</si>
  <si>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</si>
  <si>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</si>
  <si>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</si>
  <si>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</si>
  <si>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</si>
  <si>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</si>
  <si>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</si>
  <si>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</si>
  <si>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</si>
  <si>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</si>
  <si>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</si>
  <si>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</si>
  <si>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</si>
  <si>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</si>
  <si>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</si>
  <si>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</si>
  <si>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</si>
  <si>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</si>
  <si>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</si>
  <si>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</si>
  <si>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</si>
  <si>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</si>
  <si>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</si>
  <si>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</si>
  <si>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</si>
  <si>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</si>
  <si>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</si>
  <si>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</si>
  <si>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</si>
  <si>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</si>
  <si>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</si>
  <si>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</si>
  <si>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</si>
  <si>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</si>
  <si>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</si>
  <si>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</si>
  <si>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</si>
  <si>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</si>
  <si>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</si>
  <si>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</si>
  <si>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</si>
  <si>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</si>
  <si>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</si>
  <si>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</si>
  <si>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</si>
  <si>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</si>
  <si>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</si>
  <si>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</si>
  <si>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</si>
  <si>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</si>
  <si>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</si>
  <si>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</si>
  <si>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</si>
  <si>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</si>
  <si>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</si>
  <si>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</si>
  <si>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</si>
  <si>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</si>
  <si>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</si>
  <si>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</si>
  <si>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</si>
  <si>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</si>
  <si>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</si>
  <si>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</si>
  <si>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</si>
  <si>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</si>
  <si>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</si>
  <si>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</si>
  <si>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</si>
  <si>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</si>
  <si>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</si>
  <si>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</si>
  <si>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</si>
  <si>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</si>
  <si>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</si>
  <si>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</si>
  <si>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</si>
  <si>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</si>
  <si>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</si>
  <si>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</si>
  <si>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</si>
  <si>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</si>
  <si>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</si>
  <si>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</si>
  <si>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</si>
  <si>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</si>
  <si>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</si>
  <si>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</si>
  <si>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</si>
  <si>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</si>
  <si>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</si>
  <si>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</si>
  <si>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</si>
  <si>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</si>
  <si>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</si>
  <si>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</si>
  <si>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</si>
  <si>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</si>
  <si>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</si>
  <si>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</si>
  <si>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</si>
  <si>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</si>
  <si>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</si>
  <si>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</si>
  <si>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</si>
  <si>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</si>
  <si>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</si>
  <si>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</si>
  <si>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</si>
  <si>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</si>
  <si>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</si>
  <si>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</si>
  <si>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</si>
  <si>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</si>
  <si>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</si>
  <si>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</si>
  <si>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</si>
  <si>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</si>
  <si>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</si>
  <si>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</si>
  <si>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</si>
  <si>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</si>
  <si>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</si>
  <si>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</si>
  <si>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</si>
  <si>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</si>
  <si>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</si>
  <si>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</si>
  <si>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</si>
  <si>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</si>
  <si>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</si>
  <si>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</si>
  <si>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</si>
  <si>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</si>
  <si>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</si>
  <si>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</si>
  <si>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</si>
  <si>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</si>
  <si>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</si>
  <si>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</si>
  <si>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</si>
  <si>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</si>
  <si>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</si>
  <si>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</si>
  <si>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</si>
  <si>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</si>
  <si>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</si>
  <si>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</si>
  <si>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</si>
  <si>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</si>
  <si>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</si>
  <si>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</si>
  <si>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</si>
  <si>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</si>
  <si>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</si>
  <si>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</si>
  <si>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</si>
  <si>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</si>
  <si>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</si>
  <si>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</si>
  <si>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</si>
  <si>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</si>
  <si>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</si>
  <si>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</si>
  <si>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</si>
  <si>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</si>
  <si>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</si>
  <si>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</si>
  <si>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</si>
  <si>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</si>
  <si>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</si>
  <si>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</si>
  <si>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</si>
  <si>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</si>
  <si>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</si>
  <si>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</si>
  <si>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</si>
  <si>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</si>
  <si>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</si>
  <si>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</si>
  <si>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</si>
  <si>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</si>
  <si>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</si>
  <si>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</si>
  <si>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</si>
  <si>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</si>
  <si>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</si>
  <si>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</si>
  <si>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</si>
  <si>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</si>
  <si>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</si>
  <si>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</si>
  <si>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</si>
  <si>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</si>
  <si>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</si>
  <si>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</si>
  <si>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</si>
  <si>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</si>
  <si>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</si>
  <si>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</si>
  <si>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</si>
  <si>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</si>
  <si>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</si>
  <si>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</si>
  <si>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</si>
  <si>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</si>
  <si>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</si>
  <si>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</si>
  <si>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</si>
  <si>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</si>
  <si>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</si>
  <si>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</si>
  <si>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</si>
  <si>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</si>
  <si>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</si>
  <si>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</si>
  <si>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</si>
  <si>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</si>
  <si>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</si>
  <si>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</si>
  <si>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</si>
  <si>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</si>
  <si>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Updated 10/11/23 from Allan Bentley https://www.dorsetcouncil.gov.uk/w/temporary-traffic-restrictions-for-works-and-activities?p_l_back_url=%2Fsearch%3Fq%3DTTRO</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</si>
  <si>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</si>
  <si>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</si>
  <si>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</si>
  <si>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</si>
  <si>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</si>
  <si>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</si>
  <si>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</si>
  <si>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</si>
  <si>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</si>
  <si>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</si>
  <si>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</si>
  <si>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</si>
  <si>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</si>
  <si>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</si>
  <si>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</si>
  <si>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</si>
  <si>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</si>
  <si>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</si>
  <si>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</si>
  <si>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</si>
  <si>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</si>
  <si>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</si>
  <si>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</si>
  <si>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</si>
  <si>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</si>
  <si>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</si>
  <si>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</si>
  <si>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</si>
  <si>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</si>
  <si>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</si>
  <si>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</si>
  <si>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</si>
  <si>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</si>
  <si>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</si>
  <si>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</si>
  <si>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</si>
  <si>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</si>
  <si>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</si>
  <si>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</si>
  <si>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Scenario 4: Medium housing development requiring new mains and communication pipes (excavation and reinstatement by Wessex Water)</t>
  </si>
  <si>
    <t>This worked example provides charges associated with the provision of new water mains and individual connections from them for each of 50 new houses. The worked example includes the associated charges for the 50 property connections to an existing sewer, which are completed by the customer. This worked example assumes that the excavation and reinstatement activities are completed by Wessex Water. However, should the Developer appoint an SLP or NAV, this worked example assumes these (and other contestable items) would be carried out by the SLP or NAV.</t>
  </si>
  <si>
    <t>Within construction costs, this includes: Mains laying; Service pipe installation; Boundary box fitting; Meter installation; Excavation; Reinstatement</t>
  </si>
  <si>
    <t>Technical Specification (Connection)  - Pipework (unmade ground):</t>
  </si>
  <si>
    <t>• Connection to existing main of 180mm diameter PE</t>
  </si>
  <si>
    <t>• 3m pipe laying (per communication pipe)</t>
  </si>
  <si>
    <t>Technical Specification (Mains) - Pipework: Total length 300m, consisting of:</t>
  </si>
  <si>
    <t>• 125mm diameter PE – 10m pipework in road (including connection to existing 180mm PE Main)</t>
  </si>
  <si>
    <t>• 125mm diameter PE – 50m pipework in footpath</t>
  </si>
  <si>
    <t>• 125mm diameter PE – 140m pipework in Unmade ground</t>
  </si>
  <si>
    <t>• 90mm diameter PE – 100m pipework Unmade ground</t>
  </si>
  <si>
    <t>Design Considerations:</t>
  </si>
  <si>
    <t>• 180mm diameter existing main, serving 150 existing customers</t>
  </si>
  <si>
    <t>• Three commissioning phases</t>
  </si>
  <si>
    <t>• Three sample chlorination and connections - footpath</t>
  </si>
  <si>
    <t>• Four washouts - unmade ground</t>
  </si>
  <si>
    <t>• Five valves (1 x 150mm, 3 x 100mm, 1 x 80mm) - unmade ground</t>
  </si>
  <si>
    <t>• One trial hole - unmade ground</t>
  </si>
  <si>
    <t>Traffic management assumes the road (Type 3-4) is 50mph, has two lanes and requires a road closure and eight parking pay suspensions. Any additional council charges for permitting should be included. We have included in the example the average cost for our region. A customer will pay the charges applicable to their site and location.</t>
  </si>
  <si>
    <t>We have further made the assumption that the developer lays new shared drainage with a single existing sewer.</t>
  </si>
  <si>
    <t>Average charge used for this scenario</t>
  </si>
  <si>
    <t>Fly Nuisance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</si>
</sst>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8">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 fillId="2" borderId="0" xfId="0" applyFont="1" applyFill="1" applyAlignment="1" applyProtection="1">
      <alignment vertical="center" wrapText="1"/>
      <protection hidden="1"/>
    </xf>
    <xf numFmtId="0" fontId="0" fillId="2" borderId="0" xfId="0" applyFill="1" applyAlignment="1" applyProtection="1">
      <alignment horizontal="left" vertical="center" wrapText="1"/>
      <protection hidden="1"/>
    </xf>
    <xf numFmtId="0" fontId="9" fillId="4" borderId="51" xfId="0" applyFont="1"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1" fillId="0" borderId="0" xfId="0" applyFont="1" applyAlignment="1">
      <alignment horizontal="center" vertical="center"/>
    </xf>
    <xf numFmtId="0" fontId="42" fillId="0" borderId="22" xfId="0" applyFont="1" applyBorder="1" applyAlignment="1">
      <alignment horizontal="center" vertical="center" wrapText="1"/>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4">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6580345</xdr:colOff>
      <xdr:row>5</xdr:row>
      <xdr:rowOff>142875</xdr:rowOff>
    </xdr:from>
    <xdr:to>
      <xdr:col>0</xdr:col>
      <xdr:colOff>10716602</xdr:colOff>
      <xdr:row>24</xdr:row>
      <xdr:rowOff>29390</xdr:rowOff>
    </xdr:to>
    <xdr:pic>
      <xdr:nvPicPr>
        <xdr:cNvPr id="2" name="Picture 1">
          <a:extLst>
            <a:ext uri="{FF2B5EF4-FFF2-40B4-BE49-F238E27FC236}">
              <a16:creationId xmlns:a16="http://schemas.microsoft.com/office/drawing/2014/main" id="{A4F1970A-8C1A-4917-B559-31A3E2574F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78531" y="1569811"/>
          <a:ext cx="4373927" cy="32547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EC66-57EF-487A-8F7A-C59D371ACA0D}">
  <dimension ref="A1:A27"/>
  <sheetViews>
    <sheetView tabSelected="1" workbookViewId="0"/>
  </sheetViews>
  <sheetFormatPr defaultColWidth="8.58203125" defaultRowHeight="14" x14ac:dyDescent="0.3"/>
  <cols>
    <col min="1" max="1" width="148.83203125" style="3" customWidth="1"/>
    <col min="2" max="16384" width="8.58203125" style="3"/>
  </cols>
  <sheetData>
    <row r="1" spans="1:1" x14ac:dyDescent="0.3">
      <c r="A1" s="301" t="s">
        <v>408</v>
      </c>
    </row>
    <row r="2" spans="1:1" x14ac:dyDescent="0.3">
      <c r="A2" s="300"/>
    </row>
    <row r="3" spans="1:1" ht="56" x14ac:dyDescent="0.3">
      <c r="A3" s="300" t="s">
        <v>409</v>
      </c>
    </row>
    <row r="4" spans="1:1" x14ac:dyDescent="0.3">
      <c r="A4" s="300"/>
    </row>
    <row r="5" spans="1:1" x14ac:dyDescent="0.3">
      <c r="A5" s="300" t="s">
        <v>410</v>
      </c>
    </row>
    <row r="6" spans="1:1" x14ac:dyDescent="0.3">
      <c r="A6" s="300"/>
    </row>
    <row r="7" spans="1:1" x14ac:dyDescent="0.3">
      <c r="A7" s="300" t="s">
        <v>411</v>
      </c>
    </row>
    <row r="8" spans="1:1" x14ac:dyDescent="0.3">
      <c r="A8" s="300" t="s">
        <v>412</v>
      </c>
    </row>
    <row r="9" spans="1:1" x14ac:dyDescent="0.3">
      <c r="A9" s="300" t="s">
        <v>413</v>
      </c>
    </row>
    <row r="10" spans="1:1" x14ac:dyDescent="0.3">
      <c r="A10" s="300"/>
    </row>
    <row r="11" spans="1:1" x14ac:dyDescent="0.3">
      <c r="A11" s="300" t="s">
        <v>414</v>
      </c>
    </row>
    <row r="12" spans="1:1" x14ac:dyDescent="0.3">
      <c r="A12" s="300" t="s">
        <v>415</v>
      </c>
    </row>
    <row r="13" spans="1:1" x14ac:dyDescent="0.3">
      <c r="A13" s="302" t="s">
        <v>416</v>
      </c>
    </row>
    <row r="14" spans="1:1" x14ac:dyDescent="0.3">
      <c r="A14" s="302" t="s">
        <v>417</v>
      </c>
    </row>
    <row r="15" spans="1:1" x14ac:dyDescent="0.3">
      <c r="A15" s="302" t="s">
        <v>418</v>
      </c>
    </row>
    <row r="16" spans="1:1" x14ac:dyDescent="0.3">
      <c r="A16" s="302"/>
    </row>
    <row r="17" spans="1:1" x14ac:dyDescent="0.3">
      <c r="A17" s="300" t="s">
        <v>419</v>
      </c>
    </row>
    <row r="18" spans="1:1" x14ac:dyDescent="0.3">
      <c r="A18" s="300" t="s">
        <v>420</v>
      </c>
    </row>
    <row r="19" spans="1:1" x14ac:dyDescent="0.3">
      <c r="A19" s="300" t="s">
        <v>421</v>
      </c>
    </row>
    <row r="20" spans="1:1" x14ac:dyDescent="0.3">
      <c r="A20" s="300" t="s">
        <v>422</v>
      </c>
    </row>
    <row r="21" spans="1:1" x14ac:dyDescent="0.3">
      <c r="A21" s="300" t="s">
        <v>423</v>
      </c>
    </row>
    <row r="22" spans="1:1" x14ac:dyDescent="0.3">
      <c r="A22" s="300" t="s">
        <v>424</v>
      </c>
    </row>
    <row r="23" spans="1:1" x14ac:dyDescent="0.3">
      <c r="A23" s="300" t="s">
        <v>425</v>
      </c>
    </row>
    <row r="24" spans="1:1" x14ac:dyDescent="0.3">
      <c r="A24" s="300"/>
    </row>
    <row r="25" spans="1:1" ht="28" x14ac:dyDescent="0.3">
      <c r="A25" s="300" t="s">
        <v>426</v>
      </c>
    </row>
    <row r="26" spans="1:1" x14ac:dyDescent="0.3">
      <c r="A26" s="300"/>
    </row>
    <row r="27" spans="1:1" x14ac:dyDescent="0.3">
      <c r="A27" s="300" t="s">
        <v>427</v>
      </c>
    </row>
  </sheetData>
  <sheetProtection algorithmName="SHA-512" hashValue="oTYEJPq5hoh+Ub8LGoBDG6bk4b1mGa6z/wtkoImRRkvx/6Hn4EQNoGO4Pqt6oM1wjgp8J5eMnKqcRD3aQvpGuw==" saltValue="4pZwnTYafJw8lxBosk16z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zoomScaleNormal="100" workbookViewId="0"/>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4" t="s">
        <v>407</v>
      </c>
      <c r="C3" s="305"/>
      <c r="D3" s="305"/>
      <c r="E3" s="305"/>
      <c r="F3" s="305"/>
      <c r="H3" s="6" t="s">
        <v>23</v>
      </c>
      <c r="I3" s="7"/>
      <c r="J3" s="18" t="s">
        <v>58</v>
      </c>
      <c r="K3" s="19" t="s">
        <v>59</v>
      </c>
      <c r="L3" s="26" t="s">
        <v>20</v>
      </c>
    </row>
    <row r="4" spans="2:19" ht="14.5" customHeight="1" x14ac:dyDescent="0.3">
      <c r="B4" s="305"/>
      <c r="C4" s="305"/>
      <c r="D4" s="305"/>
      <c r="E4" s="305"/>
      <c r="F4" s="305"/>
      <c r="H4" s="8" t="s">
        <v>26</v>
      </c>
      <c r="I4" s="5" t="s">
        <v>39</v>
      </c>
      <c r="J4" s="23">
        <f>'s45'!E1</f>
        <v>1707</v>
      </c>
      <c r="K4" s="24">
        <f>'s45'!K1</f>
        <v>66100</v>
      </c>
      <c r="L4" s="28">
        <f t="shared" ref="L4:L9" si="0">SUM(J4:K4)</f>
        <v>67807</v>
      </c>
      <c r="N4" s="61" t="s">
        <v>77</v>
      </c>
      <c r="O4" s="62"/>
      <c r="Q4" s="250"/>
    </row>
    <row r="5" spans="2:19" ht="14.5" customHeight="1" x14ac:dyDescent="0.3">
      <c r="H5" s="8" t="s">
        <v>27</v>
      </c>
      <c r="I5" s="5" t="s">
        <v>40</v>
      </c>
      <c r="J5" s="25">
        <f>'s41'!E1</f>
        <v>9542</v>
      </c>
      <c r="K5" s="22">
        <f>'s41'!K1</f>
        <v>46812</v>
      </c>
      <c r="L5" s="29">
        <f t="shared" si="0"/>
        <v>56354</v>
      </c>
      <c r="N5" s="63" t="s">
        <v>78</v>
      </c>
      <c r="O5" s="59" t="s">
        <v>402</v>
      </c>
      <c r="P5" s="249"/>
      <c r="Q5" s="251"/>
      <c r="S5" s="249"/>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1"/>
    </row>
    <row r="7" spans="2:19" ht="14.5" customHeight="1" x14ac:dyDescent="0.3">
      <c r="B7" s="307" t="s">
        <v>35</v>
      </c>
      <c r="C7" s="80" t="s">
        <v>26</v>
      </c>
      <c r="D7" s="81" t="s">
        <v>39</v>
      </c>
      <c r="E7" s="80">
        <v>4.3</v>
      </c>
      <c r="F7" s="82" t="s">
        <v>50</v>
      </c>
      <c r="H7" s="8" t="s">
        <v>29</v>
      </c>
      <c r="I7" s="5" t="s">
        <v>42</v>
      </c>
      <c r="J7" s="25">
        <f>'s185'!E1</f>
        <v>0</v>
      </c>
      <c r="K7" s="22">
        <f>'s185'!K1</f>
        <v>0</v>
      </c>
      <c r="L7" s="30">
        <f t="shared" si="0"/>
        <v>0</v>
      </c>
      <c r="Q7" s="251"/>
    </row>
    <row r="8" spans="2:19" ht="14.5" customHeight="1" x14ac:dyDescent="0.3">
      <c r="B8" s="308"/>
      <c r="C8" s="83" t="s">
        <v>27</v>
      </c>
      <c r="D8" s="84" t="s">
        <v>40</v>
      </c>
      <c r="E8" s="83">
        <v>5.3</v>
      </c>
      <c r="F8" s="85" t="s">
        <v>51</v>
      </c>
      <c r="H8" s="49" t="s">
        <v>33</v>
      </c>
      <c r="I8" s="50" t="s">
        <v>48</v>
      </c>
      <c r="J8" s="51">
        <f>SUM('s146'!F5:F8)</f>
        <v>7600</v>
      </c>
      <c r="K8" s="68" t="s">
        <v>60</v>
      </c>
      <c r="L8" s="52">
        <f t="shared" si="0"/>
        <v>7600</v>
      </c>
    </row>
    <row r="9" spans="2:19" ht="14.5" customHeight="1" thickBot="1" x14ac:dyDescent="0.35">
      <c r="B9" s="308"/>
      <c r="C9" s="83" t="s">
        <v>28</v>
      </c>
      <c r="D9" s="84" t="s">
        <v>41</v>
      </c>
      <c r="E9" s="83">
        <v>5.6</v>
      </c>
      <c r="F9" s="86" t="s">
        <v>70</v>
      </c>
      <c r="H9" s="16"/>
      <c r="I9" s="17" t="s">
        <v>61</v>
      </c>
      <c r="J9" s="20">
        <f>SUM(J4:J8)</f>
        <v>18849</v>
      </c>
      <c r="K9" s="21">
        <f>SUM(K4:K8)</f>
        <v>112912</v>
      </c>
      <c r="L9" s="27">
        <f t="shared" si="0"/>
        <v>131761</v>
      </c>
    </row>
    <row r="10" spans="2:19" ht="14.5" customHeight="1" thickBot="1" x14ac:dyDescent="0.35">
      <c r="B10" s="309"/>
      <c r="C10" s="88" t="s">
        <v>29</v>
      </c>
      <c r="D10" s="89" t="s">
        <v>42</v>
      </c>
      <c r="E10" s="88">
        <v>5.8</v>
      </c>
      <c r="F10" s="90" t="s">
        <v>225</v>
      </c>
      <c r="J10" s="2"/>
      <c r="K10" s="2"/>
    </row>
    <row r="11" spans="2:19" ht="14.5" customHeight="1" thickBot="1" x14ac:dyDescent="0.35">
      <c r="B11" s="310" t="s">
        <v>37</v>
      </c>
      <c r="C11" s="91" t="s">
        <v>56</v>
      </c>
      <c r="D11" s="92" t="s">
        <v>43</v>
      </c>
      <c r="E11" s="91">
        <v>6.3</v>
      </c>
      <c r="F11" s="93" t="s">
        <v>53</v>
      </c>
      <c r="H11" s="9" t="s">
        <v>36</v>
      </c>
      <c r="I11" s="10"/>
      <c r="J11" s="32" t="s">
        <v>58</v>
      </c>
      <c r="K11" s="33" t="s">
        <v>59</v>
      </c>
      <c r="L11" s="34" t="s">
        <v>20</v>
      </c>
    </row>
    <row r="12" spans="2:19" ht="14.5" customHeight="1" x14ac:dyDescent="0.3">
      <c r="B12" s="311"/>
      <c r="C12" s="94" t="s">
        <v>30</v>
      </c>
      <c r="D12" s="95" t="s">
        <v>44</v>
      </c>
      <c r="E12" s="94">
        <v>7.3</v>
      </c>
      <c r="F12" s="96" t="s">
        <v>54</v>
      </c>
      <c r="H12" s="11" t="s">
        <v>56</v>
      </c>
      <c r="I12" s="31" t="s">
        <v>43</v>
      </c>
      <c r="J12" s="40">
        <f>'s106|7'!E1</f>
        <v>215</v>
      </c>
      <c r="K12" s="66" t="s">
        <v>60</v>
      </c>
      <c r="L12" s="42">
        <f t="shared" ref="L12:L18" si="1">SUM(J12:K12)</f>
        <v>215</v>
      </c>
    </row>
    <row r="13" spans="2:19" ht="14.5" customHeight="1" x14ac:dyDescent="0.3">
      <c r="B13" s="311"/>
      <c r="C13" s="94" t="s">
        <v>31</v>
      </c>
      <c r="D13" s="95" t="s">
        <v>46</v>
      </c>
      <c r="E13" s="94">
        <v>7.6</v>
      </c>
      <c r="F13" s="97" t="s">
        <v>71</v>
      </c>
      <c r="H13" s="8" t="s">
        <v>30</v>
      </c>
      <c r="I13" s="5" t="s">
        <v>44</v>
      </c>
      <c r="J13" s="41">
        <f>'s98'!E1</f>
        <v>0</v>
      </c>
      <c r="K13" s="38">
        <f>'s98'!K1</f>
        <v>0</v>
      </c>
      <c r="L13" s="43">
        <f t="shared" si="1"/>
        <v>0</v>
      </c>
    </row>
    <row r="14" spans="2:19" ht="14.5" customHeight="1" x14ac:dyDescent="0.3">
      <c r="B14" s="311"/>
      <c r="C14" s="94" t="s">
        <v>32</v>
      </c>
      <c r="D14" s="95" t="s">
        <v>45</v>
      </c>
      <c r="E14" s="94">
        <v>7.6</v>
      </c>
      <c r="F14" s="97" t="s">
        <v>235</v>
      </c>
      <c r="H14" s="8" t="s">
        <v>31</v>
      </c>
      <c r="I14" s="5" t="s">
        <v>46</v>
      </c>
      <c r="J14" s="41">
        <f>'s102'!E1</f>
        <v>0</v>
      </c>
      <c r="K14" s="67" t="s">
        <v>60</v>
      </c>
      <c r="L14" s="43">
        <f t="shared" si="1"/>
        <v>0</v>
      </c>
    </row>
    <row r="15" spans="2:19" ht="14.5" customHeight="1" x14ac:dyDescent="0.3">
      <c r="B15" s="312"/>
      <c r="C15" s="98" t="s">
        <v>29</v>
      </c>
      <c r="D15" s="99" t="s">
        <v>47</v>
      </c>
      <c r="E15" s="98">
        <v>7.9</v>
      </c>
      <c r="F15" s="100" t="s">
        <v>72</v>
      </c>
      <c r="H15" s="8" t="s">
        <v>32</v>
      </c>
      <c r="I15" s="5" t="s">
        <v>45</v>
      </c>
      <c r="J15" s="41">
        <f>'s104'!E1</f>
        <v>0</v>
      </c>
      <c r="K15" s="67" t="s">
        <v>60</v>
      </c>
      <c r="L15" s="43">
        <f t="shared" si="1"/>
        <v>0</v>
      </c>
    </row>
    <row r="16" spans="2:19" ht="14.5" customHeight="1" x14ac:dyDescent="0.3">
      <c r="B16" s="313"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4"/>
      <c r="C17" s="104" t="s">
        <v>49</v>
      </c>
      <c r="D17" s="105" t="s">
        <v>34</v>
      </c>
      <c r="E17" s="104">
        <v>3</v>
      </c>
      <c r="F17" s="106" t="s">
        <v>295</v>
      </c>
      <c r="H17" s="49" t="s">
        <v>33</v>
      </c>
      <c r="I17" s="50" t="s">
        <v>48</v>
      </c>
      <c r="J17" s="51">
        <f>SUM('s146'!F12:F16)</f>
        <v>5000</v>
      </c>
      <c r="K17" s="68" t="s">
        <v>60</v>
      </c>
      <c r="L17" s="53">
        <f t="shared" si="1"/>
        <v>5000</v>
      </c>
    </row>
    <row r="18" spans="2:12" ht="14.5" customHeight="1" thickBot="1" x14ac:dyDescent="0.35">
      <c r="H18" s="16"/>
      <c r="I18" s="17" t="s">
        <v>61</v>
      </c>
      <c r="J18" s="35">
        <f>SUM(J12:J17)</f>
        <v>5215</v>
      </c>
      <c r="K18" s="36">
        <f>SUM(K12:K17)</f>
        <v>0</v>
      </c>
      <c r="L18" s="37">
        <f t="shared" si="1"/>
        <v>5215</v>
      </c>
    </row>
    <row r="19" spans="2:12" ht="14.5" customHeight="1" thickBot="1" x14ac:dyDescent="0.35">
      <c r="B19" s="151" t="s">
        <v>229</v>
      </c>
      <c r="C19" s="1"/>
      <c r="E19" s="1"/>
      <c r="H19" s="3"/>
      <c r="I19" s="3"/>
      <c r="J19" s="4"/>
      <c r="K19" s="4"/>
      <c r="L19" s="3"/>
    </row>
    <row r="20" spans="2:12" ht="14.5" customHeight="1" thickBot="1" x14ac:dyDescent="0.35">
      <c r="B20" s="315" t="s">
        <v>351</v>
      </c>
      <c r="C20" s="316"/>
      <c r="D20" s="316"/>
      <c r="E20" s="316"/>
      <c r="F20" s="316"/>
      <c r="H20" s="12" t="s">
        <v>34</v>
      </c>
      <c r="I20" s="13"/>
      <c r="J20" s="236" t="s">
        <v>58</v>
      </c>
      <c r="K20" s="44" t="s">
        <v>59</v>
      </c>
      <c r="L20" s="46" t="s">
        <v>20</v>
      </c>
    </row>
    <row r="21" spans="2:12" ht="14.5" customHeight="1" x14ac:dyDescent="0.3">
      <c r="B21" s="316"/>
      <c r="C21" s="316"/>
      <c r="D21" s="316"/>
      <c r="E21" s="316"/>
      <c r="F21" s="316"/>
      <c r="H21" s="14"/>
      <c r="I21" s="239" t="s">
        <v>74</v>
      </c>
      <c r="J21" s="237">
        <f>Other!F5</f>
        <v>0</v>
      </c>
      <c r="K21" s="69" t="s">
        <v>60</v>
      </c>
      <c r="L21" s="48">
        <f t="shared" ref="L21:L26" si="2">SUM(J21:K21)</f>
        <v>0</v>
      </c>
    </row>
    <row r="22" spans="2:12" ht="14.5" customHeight="1" x14ac:dyDescent="0.3">
      <c r="B22" s="316"/>
      <c r="C22" s="316"/>
      <c r="D22" s="316"/>
      <c r="E22" s="316"/>
      <c r="F22" s="316"/>
      <c r="H22" s="232"/>
      <c r="I22" s="240" t="s">
        <v>385</v>
      </c>
      <c r="J22" s="235">
        <f>Other!F8</f>
        <v>0</v>
      </c>
      <c r="K22" s="233" t="s">
        <v>60</v>
      </c>
      <c r="L22" s="234">
        <f t="shared" si="2"/>
        <v>0</v>
      </c>
    </row>
    <row r="23" spans="2:12" ht="14.5" customHeight="1" x14ac:dyDescent="0.3">
      <c r="B23" s="315" t="s">
        <v>350</v>
      </c>
      <c r="C23" s="316"/>
      <c r="D23" s="316"/>
      <c r="E23" s="316"/>
      <c r="F23" s="316"/>
      <c r="H23" s="232"/>
      <c r="I23" s="240" t="s">
        <v>429</v>
      </c>
      <c r="J23" s="235">
        <f>Other!F9</f>
        <v>0</v>
      </c>
      <c r="K23" s="233" t="s">
        <v>60</v>
      </c>
      <c r="L23" s="234">
        <f t="shared" si="2"/>
        <v>0</v>
      </c>
    </row>
    <row r="24" spans="2:12" ht="14.5" customHeight="1" x14ac:dyDescent="0.3">
      <c r="B24" s="316"/>
      <c r="C24" s="316"/>
      <c r="D24" s="316"/>
      <c r="E24" s="316"/>
      <c r="F24" s="316"/>
      <c r="H24" s="232"/>
      <c r="I24" s="240" t="s">
        <v>169</v>
      </c>
      <c r="J24" s="235">
        <f>SUM(Other!F13:F17)</f>
        <v>0</v>
      </c>
      <c r="K24" s="233" t="s">
        <v>60</v>
      </c>
      <c r="L24" s="234">
        <f t="shared" si="2"/>
        <v>0</v>
      </c>
    </row>
    <row r="25" spans="2:12" ht="14.5" customHeight="1" thickBot="1" x14ac:dyDescent="0.35">
      <c r="B25" s="315" t="s">
        <v>230</v>
      </c>
      <c r="C25" s="316"/>
      <c r="D25" s="316"/>
      <c r="E25" s="316"/>
      <c r="F25" s="316"/>
      <c r="H25" s="55"/>
      <c r="I25" s="241" t="s">
        <v>348</v>
      </c>
      <c r="J25" s="243" t="s">
        <v>60</v>
      </c>
      <c r="K25" s="70">
        <f>SUM(Other!F20:F32)</f>
        <v>2102</v>
      </c>
      <c r="L25" s="242">
        <f t="shared" si="2"/>
        <v>2102</v>
      </c>
    </row>
    <row r="26" spans="2:12" ht="14.5" customHeight="1" thickBot="1" x14ac:dyDescent="0.35">
      <c r="B26" s="190"/>
      <c r="C26" s="190"/>
      <c r="D26" s="190"/>
      <c r="E26" s="190"/>
      <c r="F26" s="190"/>
      <c r="H26" s="54"/>
      <c r="I26" s="17" t="s">
        <v>349</v>
      </c>
      <c r="J26" s="238">
        <f>SUM(J21:J25)</f>
        <v>0</v>
      </c>
      <c r="K26" s="45">
        <f>SUM(K21:K25)</f>
        <v>2102</v>
      </c>
      <c r="L26" s="47">
        <f t="shared" si="2"/>
        <v>2102</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24064</v>
      </c>
      <c r="K28" s="58">
        <f>K26+K18+K9</f>
        <v>115014</v>
      </c>
      <c r="L28" s="65">
        <f>L26+L18+L9</f>
        <v>139078</v>
      </c>
    </row>
    <row r="29" spans="2:12" x14ac:dyDescent="0.35">
      <c r="B29" s="245"/>
      <c r="C29" s="204"/>
      <c r="D29" s="204"/>
      <c r="E29" s="204"/>
      <c r="F29" s="204"/>
      <c r="H29" s="173"/>
      <c r="I29" s="174"/>
      <c r="J29" s="153"/>
      <c r="K29" s="153"/>
      <c r="L29" s="152"/>
    </row>
    <row r="30" spans="2:12" ht="14" x14ac:dyDescent="0.3">
      <c r="B30" s="190"/>
      <c r="C30" s="190"/>
      <c r="D30" s="190"/>
      <c r="E30" s="190"/>
      <c r="F30" s="190"/>
      <c r="H30" s="157" t="s">
        <v>180</v>
      </c>
    </row>
    <row r="31" spans="2:12" ht="14" x14ac:dyDescent="0.3">
      <c r="B31" s="190"/>
      <c r="C31" s="190"/>
      <c r="D31" s="190"/>
      <c r="E31" s="190"/>
      <c r="F31" s="190"/>
      <c r="H31" s="151" t="s">
        <v>63</v>
      </c>
      <c r="I31" s="152"/>
      <c r="J31" s="153"/>
      <c r="K31" s="153"/>
      <c r="L31" s="152"/>
    </row>
    <row r="32" spans="2:12" ht="29.15" customHeight="1" x14ac:dyDescent="0.3">
      <c r="B32" s="190"/>
      <c r="C32" s="190"/>
      <c r="D32" s="190"/>
      <c r="E32" s="190"/>
      <c r="F32" s="190"/>
      <c r="H32" s="306" t="s">
        <v>64</v>
      </c>
      <c r="I32" s="306"/>
      <c r="J32" s="306"/>
      <c r="K32" s="306"/>
      <c r="L32" s="306"/>
    </row>
    <row r="33" spans="2:12" ht="29.15" customHeight="1" x14ac:dyDescent="0.3">
      <c r="B33" s="190"/>
      <c r="C33" s="190"/>
      <c r="D33" s="190"/>
      <c r="E33" s="190"/>
      <c r="F33" s="190"/>
      <c r="H33" s="306" t="s">
        <v>65</v>
      </c>
      <c r="I33" s="306"/>
      <c r="J33" s="306"/>
      <c r="K33" s="306"/>
      <c r="L33" s="306"/>
    </row>
    <row r="34" spans="2:12" ht="21" customHeight="1" x14ac:dyDescent="0.3">
      <c r="B34" s="190"/>
      <c r="C34" s="190"/>
      <c r="D34" s="190"/>
      <c r="E34" s="190"/>
      <c r="F34" s="190"/>
      <c r="H34" s="306" t="s">
        <v>66</v>
      </c>
      <c r="I34" s="306"/>
      <c r="J34" s="306"/>
      <c r="K34" s="306"/>
      <c r="L34" s="306"/>
    </row>
    <row r="35" spans="2:12" ht="27" customHeight="1" x14ac:dyDescent="0.3">
      <c r="B35" s="189"/>
      <c r="C35" s="189"/>
      <c r="D35" s="189"/>
      <c r="E35" s="189"/>
      <c r="F35" s="189"/>
      <c r="H35" s="306" t="s">
        <v>67</v>
      </c>
      <c r="I35" s="306"/>
      <c r="J35" s="306"/>
      <c r="K35" s="306"/>
      <c r="L35" s="306"/>
    </row>
    <row r="36" spans="2:12" ht="22.75" customHeight="1" x14ac:dyDescent="0.3">
      <c r="B36" s="189"/>
      <c r="C36" s="189"/>
      <c r="D36" s="189"/>
      <c r="E36" s="189"/>
      <c r="F36" s="189"/>
      <c r="H36" s="306" t="s">
        <v>68</v>
      </c>
      <c r="I36" s="306"/>
      <c r="J36" s="306"/>
      <c r="K36" s="306"/>
      <c r="L36" s="306"/>
    </row>
    <row r="37" spans="2:12" ht="14.5" customHeight="1" x14ac:dyDescent="0.3">
      <c r="B37" s="189"/>
      <c r="C37" s="189"/>
      <c r="D37" s="189"/>
      <c r="E37" s="189"/>
      <c r="F37" s="189"/>
      <c r="H37" s="306" t="s">
        <v>69</v>
      </c>
      <c r="I37" s="306"/>
      <c r="J37" s="306"/>
      <c r="K37" s="306"/>
      <c r="L37" s="306"/>
    </row>
    <row r="38" spans="2:12" ht="14.15" customHeight="1" x14ac:dyDescent="0.3">
      <c r="B38" s="189"/>
      <c r="C38" s="189"/>
      <c r="D38" s="189"/>
      <c r="E38" s="189"/>
      <c r="F38" s="189"/>
    </row>
  </sheetData>
  <sheetProtection algorithmName="SHA-512" hashValue="3p6O0i5RH9RxfvHiW7TaaJAo/mCKU0/+aQirZrv9TU8tOzpVxL1OpNiuYKJtQYFGefMXo40+cW4mvX4nZ5mwXw==" saltValue="6lHzi9/vCtmLnH/1BmKmMQ=="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3" priority="3" operator="lessThan">
      <formula>0</formula>
    </cfRule>
  </conditionalFormatting>
  <conditionalFormatting sqref="L12:L18">
    <cfRule type="cellIs" dxfId="2" priority="2" operator="lessThan">
      <formula>0</formula>
    </cfRule>
  </conditionalFormatting>
  <conditionalFormatting sqref="L28">
    <cfRule type="cellIs" dxfId="1"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23">
        <f>SUM(F:F)</f>
        <v>1707</v>
      </c>
      <c r="F1" s="323"/>
      <c r="H1" s="107" t="s">
        <v>59</v>
      </c>
      <c r="I1" s="108"/>
      <c r="J1" s="108"/>
      <c r="K1" s="323">
        <f>SUM(L:L)</f>
        <v>66100</v>
      </c>
      <c r="L1" s="323"/>
    </row>
    <row r="2" spans="2:13" x14ac:dyDescent="0.3">
      <c r="D2" s="109"/>
      <c r="E2" s="324" t="s">
        <v>76</v>
      </c>
      <c r="F2" s="324"/>
      <c r="J2" s="109"/>
      <c r="K2" s="324" t="s">
        <v>76</v>
      </c>
      <c r="L2" s="324"/>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v>1</v>
      </c>
      <c r="E5" s="194">
        <v>139</v>
      </c>
      <c r="F5" s="130">
        <f>D5*E5</f>
        <v>139</v>
      </c>
      <c r="H5" s="165" t="s">
        <v>8</v>
      </c>
      <c r="I5" s="165" t="s">
        <v>9</v>
      </c>
      <c r="J5" s="154"/>
      <c r="K5" s="126" t="s">
        <v>10</v>
      </c>
      <c r="L5" s="130"/>
    </row>
    <row r="6" spans="2:13" ht="25" x14ac:dyDescent="0.3">
      <c r="B6" s="117" t="s">
        <v>251</v>
      </c>
      <c r="C6" s="118" t="s">
        <v>4</v>
      </c>
      <c r="D6" s="154">
        <v>49</v>
      </c>
      <c r="E6" s="284">
        <v>32</v>
      </c>
      <c r="F6" s="130">
        <f>D6*E6</f>
        <v>1568</v>
      </c>
      <c r="H6" s="165" t="s">
        <v>11</v>
      </c>
      <c r="I6" s="165" t="s">
        <v>12</v>
      </c>
      <c r="J6" s="154"/>
      <c r="K6" s="126" t="s">
        <v>10</v>
      </c>
      <c r="L6" s="130"/>
    </row>
    <row r="7" spans="2:13" ht="25" x14ac:dyDescent="0.3">
      <c r="B7" s="117" t="s">
        <v>252</v>
      </c>
      <c r="C7" s="118" t="s">
        <v>4</v>
      </c>
      <c r="D7" s="154"/>
      <c r="E7" s="284">
        <v>47</v>
      </c>
      <c r="F7" s="130">
        <f>D7*E7</f>
        <v>0</v>
      </c>
      <c r="H7" s="317" t="s">
        <v>236</v>
      </c>
      <c r="I7" s="318"/>
      <c r="J7" s="318"/>
      <c r="K7" s="195"/>
      <c r="L7" s="196"/>
      <c r="M7" s="179"/>
    </row>
    <row r="8" spans="2:13" ht="27.65" customHeight="1" x14ac:dyDescent="0.3">
      <c r="B8" s="117" t="s">
        <v>253</v>
      </c>
      <c r="C8" s="118" t="s">
        <v>4</v>
      </c>
      <c r="D8" s="154"/>
      <c r="E8" s="284">
        <v>26</v>
      </c>
      <c r="F8" s="130">
        <f>D8*E8</f>
        <v>0</v>
      </c>
      <c r="H8" s="166" t="s">
        <v>237</v>
      </c>
      <c r="I8" s="167" t="s">
        <v>4</v>
      </c>
      <c r="J8" s="154">
        <v>50</v>
      </c>
      <c r="K8" s="120">
        <v>1075</v>
      </c>
      <c r="L8" s="130">
        <f t="shared" ref="L8:L32" si="0">J8*K8</f>
        <v>53750</v>
      </c>
      <c r="M8" s="179"/>
    </row>
    <row r="9" spans="2:13" ht="25" x14ac:dyDescent="0.3">
      <c r="B9" s="118" t="s">
        <v>5</v>
      </c>
      <c r="C9" s="118" t="s">
        <v>6</v>
      </c>
      <c r="D9" s="154"/>
      <c r="E9" s="285">
        <v>46</v>
      </c>
      <c r="F9" s="130">
        <f>D9*E9</f>
        <v>0</v>
      </c>
      <c r="H9" s="175" t="s">
        <v>374</v>
      </c>
      <c r="I9" s="167" t="s">
        <v>4</v>
      </c>
      <c r="J9" s="154"/>
      <c r="K9" s="120">
        <v>243</v>
      </c>
      <c r="L9" s="130">
        <f t="shared" si="0"/>
        <v>0</v>
      </c>
      <c r="M9" s="179"/>
    </row>
    <row r="10" spans="2:13" ht="25.5" customHeight="1" x14ac:dyDescent="0.3">
      <c r="B10" s="202"/>
      <c r="H10" s="175" t="s">
        <v>238</v>
      </c>
      <c r="I10" s="167" t="s">
        <v>4</v>
      </c>
      <c r="J10" s="154"/>
      <c r="K10" s="120">
        <v>2483</v>
      </c>
      <c r="L10" s="130">
        <f t="shared" si="0"/>
        <v>0</v>
      </c>
      <c r="M10" s="179"/>
    </row>
    <row r="11" spans="2:13" ht="25" x14ac:dyDescent="0.3">
      <c r="B11" s="202"/>
      <c r="H11" s="175" t="s">
        <v>375</v>
      </c>
      <c r="I11" s="167" t="s">
        <v>4</v>
      </c>
      <c r="J11" s="154"/>
      <c r="K11" s="120">
        <v>1501</v>
      </c>
      <c r="L11" s="130">
        <f t="shared" si="0"/>
        <v>0</v>
      </c>
      <c r="M11" s="179"/>
    </row>
    <row r="12" spans="2:13" ht="25" x14ac:dyDescent="0.3">
      <c r="B12" s="202"/>
      <c r="H12" s="178" t="s">
        <v>239</v>
      </c>
      <c r="I12" s="165" t="s">
        <v>13</v>
      </c>
      <c r="J12" s="154">
        <v>50</v>
      </c>
      <c r="K12" s="120">
        <v>247</v>
      </c>
      <c r="L12" s="130">
        <f t="shared" si="0"/>
        <v>12350</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c r="K14" s="120">
        <v>614</v>
      </c>
      <c r="L14" s="130">
        <f t="shared" si="0"/>
        <v>0</v>
      </c>
      <c r="M14" s="179"/>
    </row>
    <row r="15" spans="2:13" ht="25" x14ac:dyDescent="0.3">
      <c r="H15" s="197" t="s">
        <v>242</v>
      </c>
      <c r="I15" s="167" t="s">
        <v>14</v>
      </c>
      <c r="J15" s="154"/>
      <c r="K15" s="120">
        <v>2497</v>
      </c>
      <c r="L15" s="130">
        <f t="shared" si="0"/>
        <v>0</v>
      </c>
      <c r="M15" s="179"/>
    </row>
    <row r="16" spans="2:13" ht="25" x14ac:dyDescent="0.3">
      <c r="H16" s="197" t="s">
        <v>243</v>
      </c>
      <c r="I16" s="167" t="s">
        <v>14</v>
      </c>
      <c r="J16" s="154"/>
      <c r="K16" s="120">
        <v>2585</v>
      </c>
      <c r="L16" s="130">
        <f t="shared" si="0"/>
        <v>0</v>
      </c>
      <c r="M16" s="179"/>
    </row>
    <row r="17" spans="8:13" ht="25.5" customHeight="1" x14ac:dyDescent="0.3">
      <c r="H17" s="317" t="s">
        <v>244</v>
      </c>
      <c r="I17" s="318"/>
      <c r="J17" s="318"/>
      <c r="K17" s="195"/>
      <c r="L17" s="196"/>
      <c r="M17" s="179"/>
    </row>
    <row r="18" spans="8:13" ht="25" x14ac:dyDescent="0.3">
      <c r="H18" s="176" t="s">
        <v>245</v>
      </c>
      <c r="I18" s="167" t="s">
        <v>4</v>
      </c>
      <c r="J18" s="154"/>
      <c r="K18" s="120">
        <v>393</v>
      </c>
      <c r="L18" s="130">
        <f t="shared" si="0"/>
        <v>0</v>
      </c>
      <c r="M18" s="179"/>
    </row>
    <row r="19" spans="8:13" ht="25" x14ac:dyDescent="0.3">
      <c r="H19" s="177" t="s">
        <v>394</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395</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7" t="s">
        <v>247</v>
      </c>
      <c r="I24" s="318"/>
      <c r="J24" s="318"/>
      <c r="K24" s="195"/>
      <c r="L24" s="196"/>
      <c r="M24" s="179"/>
    </row>
    <row r="25" spans="8:13" x14ac:dyDescent="0.3">
      <c r="H25" s="165" t="s">
        <v>248</v>
      </c>
      <c r="I25" s="165" t="s">
        <v>13</v>
      </c>
      <c r="J25" s="154"/>
      <c r="K25" s="120">
        <v>42</v>
      </c>
      <c r="L25" s="130">
        <f t="shared" si="0"/>
        <v>0</v>
      </c>
      <c r="M25" s="179"/>
    </row>
    <row r="26" spans="8:13" x14ac:dyDescent="0.3">
      <c r="H26" s="165" t="s">
        <v>249</v>
      </c>
      <c r="I26" s="165" t="s">
        <v>15</v>
      </c>
      <c r="J26" s="154"/>
      <c r="K26" s="120">
        <v>46</v>
      </c>
      <c r="L26" s="130">
        <f t="shared" si="0"/>
        <v>0</v>
      </c>
      <c r="M26" s="179"/>
    </row>
    <row r="27" spans="8:13" x14ac:dyDescent="0.3">
      <c r="H27" s="168" t="s">
        <v>16</v>
      </c>
      <c r="I27" s="165" t="s">
        <v>17</v>
      </c>
      <c r="J27" s="154"/>
      <c r="K27" s="120">
        <v>94</v>
      </c>
      <c r="L27" s="130">
        <f t="shared" si="0"/>
        <v>0</v>
      </c>
    </row>
    <row r="28" spans="8:13" x14ac:dyDescent="0.3">
      <c r="H28" s="168" t="s">
        <v>386</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397</v>
      </c>
      <c r="I31" s="166" t="s">
        <v>387</v>
      </c>
      <c r="J31" s="154"/>
      <c r="K31" s="120">
        <v>2269</v>
      </c>
      <c r="L31" s="130">
        <f t="shared" si="0"/>
        <v>0</v>
      </c>
      <c r="M31" s="202"/>
    </row>
    <row r="32" spans="8:13" x14ac:dyDescent="0.3">
      <c r="H32" s="175" t="s">
        <v>398</v>
      </c>
      <c r="I32" s="166" t="s">
        <v>158</v>
      </c>
      <c r="J32" s="154"/>
      <c r="K32" s="120">
        <v>189</v>
      </c>
      <c r="L32" s="130">
        <f t="shared" si="0"/>
        <v>0</v>
      </c>
      <c r="M32" s="202"/>
    </row>
    <row r="33" spans="8:12" ht="26.15" customHeight="1" x14ac:dyDescent="0.3">
      <c r="H33" s="319" t="s">
        <v>274</v>
      </c>
      <c r="I33" s="320"/>
      <c r="J33" s="320"/>
      <c r="K33" s="320"/>
      <c r="L33" s="320"/>
    </row>
    <row r="34" spans="8:12" ht="34.5" customHeight="1" x14ac:dyDescent="0.3">
      <c r="H34" s="321"/>
      <c r="I34" s="322"/>
      <c r="J34" s="322"/>
      <c r="K34" s="322"/>
      <c r="L34" s="322"/>
    </row>
  </sheetData>
  <sheetProtection algorithmName="SHA-512" hashValue="xdjZuLEPKGoD/TRdlGPjjishQRcMhUaiKFoPDQ5bkMnwZSQP3Df8ju3t1hlPPSQ11AV1AOKTmGvRGNCCF4wEgw==" saltValue="JFs179K0UH+ELAxxcssLQg=="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23">
        <f>SUM(F:F)</f>
        <v>9542</v>
      </c>
      <c r="F1" s="323"/>
      <c r="H1" s="107" t="s">
        <v>59</v>
      </c>
      <c r="I1" s="108"/>
      <c r="J1" s="108"/>
      <c r="K1" s="323">
        <f>SUM(L:L)</f>
        <v>46812</v>
      </c>
      <c r="L1" s="323"/>
    </row>
    <row r="2" spans="1:14" x14ac:dyDescent="0.3">
      <c r="D2" s="109"/>
      <c r="E2" s="324" t="s">
        <v>76</v>
      </c>
      <c r="F2" s="324"/>
      <c r="K2" s="324" t="s">
        <v>76</v>
      </c>
      <c r="L2" s="324"/>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v>1</v>
      </c>
      <c r="E5" s="126">
        <v>442</v>
      </c>
      <c r="F5" s="121">
        <f t="shared" ref="F5:F8" si="0">D5*E5</f>
        <v>442</v>
      </c>
      <c r="H5" s="166" t="s">
        <v>8</v>
      </c>
      <c r="I5" s="166" t="s">
        <v>9</v>
      </c>
      <c r="J5" s="154"/>
      <c r="K5" s="287" t="s">
        <v>10</v>
      </c>
      <c r="L5" s="121"/>
    </row>
    <row r="6" spans="1:14" ht="25" x14ac:dyDescent="0.3">
      <c r="B6" s="167" t="s">
        <v>255</v>
      </c>
      <c r="C6" s="165" t="s">
        <v>82</v>
      </c>
      <c r="D6" s="154">
        <v>1</v>
      </c>
      <c r="E6" s="286">
        <v>280</v>
      </c>
      <c r="F6" s="121">
        <f t="shared" si="0"/>
        <v>280</v>
      </c>
      <c r="H6" s="166" t="s">
        <v>256</v>
      </c>
      <c r="I6" s="166" t="s">
        <v>82</v>
      </c>
      <c r="J6" s="154">
        <v>1</v>
      </c>
      <c r="K6" s="286">
        <v>533</v>
      </c>
      <c r="L6" s="121">
        <f t="shared" ref="L6:L17" si="1">J6*K6</f>
        <v>533</v>
      </c>
    </row>
    <row r="7" spans="1:14" ht="37.5" x14ac:dyDescent="0.3">
      <c r="B7" s="167" t="s">
        <v>83</v>
      </c>
      <c r="C7" s="165" t="s">
        <v>4</v>
      </c>
      <c r="D7" s="154"/>
      <c r="E7" s="120">
        <v>5092</v>
      </c>
      <c r="F7" s="121">
        <f t="shared" si="0"/>
        <v>0</v>
      </c>
      <c r="H7" s="166" t="s">
        <v>85</v>
      </c>
      <c r="I7" s="166" t="s">
        <v>86</v>
      </c>
      <c r="J7" s="154"/>
      <c r="K7" s="286">
        <v>301</v>
      </c>
      <c r="L7" s="121">
        <f t="shared" si="1"/>
        <v>0</v>
      </c>
    </row>
    <row r="8" spans="1:14" ht="37.5" x14ac:dyDescent="0.3">
      <c r="A8" s="191" t="s">
        <v>231</v>
      </c>
      <c r="B8" s="167" t="s">
        <v>345</v>
      </c>
      <c r="C8" s="165" t="s">
        <v>4</v>
      </c>
      <c r="D8" s="154">
        <v>1</v>
      </c>
      <c r="E8" s="120">
        <v>8820</v>
      </c>
      <c r="F8" s="121">
        <f t="shared" si="0"/>
        <v>8820</v>
      </c>
      <c r="H8" s="177" t="s">
        <v>257</v>
      </c>
      <c r="I8" s="166" t="s">
        <v>13</v>
      </c>
      <c r="J8" s="154"/>
      <c r="K8" s="286">
        <v>91</v>
      </c>
      <c r="L8" s="121">
        <f t="shared" si="1"/>
        <v>0</v>
      </c>
    </row>
    <row r="9" spans="1:14" ht="25" x14ac:dyDescent="0.3">
      <c r="B9" s="192" t="s">
        <v>232</v>
      </c>
      <c r="C9" s="186"/>
      <c r="D9" s="187"/>
      <c r="E9" s="188"/>
      <c r="F9" s="182"/>
      <c r="H9" s="177" t="s">
        <v>258</v>
      </c>
      <c r="I9" s="166" t="s">
        <v>13</v>
      </c>
      <c r="J9" s="154">
        <v>240</v>
      </c>
      <c r="K9" s="286">
        <v>128</v>
      </c>
      <c r="L9" s="121">
        <f t="shared" si="1"/>
        <v>30720</v>
      </c>
    </row>
    <row r="10" spans="1:14" ht="25" x14ac:dyDescent="0.3">
      <c r="B10" s="325" t="s">
        <v>346</v>
      </c>
      <c r="C10" s="326"/>
      <c r="D10" s="326"/>
      <c r="E10" s="326"/>
      <c r="F10" s="326"/>
      <c r="H10" s="177" t="s">
        <v>259</v>
      </c>
      <c r="I10" s="166" t="s">
        <v>13</v>
      </c>
      <c r="J10" s="154">
        <v>50</v>
      </c>
      <c r="K10" s="286">
        <v>155</v>
      </c>
      <c r="L10" s="121">
        <f t="shared" si="1"/>
        <v>7750</v>
      </c>
    </row>
    <row r="11" spans="1:14" ht="25" x14ac:dyDescent="0.3">
      <c r="B11" s="327"/>
      <c r="C11" s="327"/>
      <c r="D11" s="327"/>
      <c r="E11" s="327"/>
      <c r="F11" s="327"/>
      <c r="H11" s="177" t="s">
        <v>260</v>
      </c>
      <c r="I11" s="166" t="s">
        <v>13</v>
      </c>
      <c r="J11" s="154">
        <v>10</v>
      </c>
      <c r="K11" s="286">
        <v>240</v>
      </c>
      <c r="L11" s="121">
        <f t="shared" si="1"/>
        <v>2400</v>
      </c>
    </row>
    <row r="12" spans="1:14" ht="25" x14ac:dyDescent="0.3">
      <c r="B12" s="327"/>
      <c r="C12" s="327"/>
      <c r="D12" s="327"/>
      <c r="E12" s="327"/>
      <c r="F12" s="327"/>
      <c r="H12" s="177" t="s">
        <v>87</v>
      </c>
      <c r="I12" s="166" t="s">
        <v>13</v>
      </c>
      <c r="J12" s="154"/>
      <c r="K12" s="286">
        <v>32</v>
      </c>
      <c r="L12" s="121">
        <f t="shared" si="1"/>
        <v>0</v>
      </c>
    </row>
    <row r="13" spans="1:14" ht="25" x14ac:dyDescent="0.3">
      <c r="B13" s="327"/>
      <c r="C13" s="327"/>
      <c r="D13" s="327"/>
      <c r="E13" s="327"/>
      <c r="F13" s="327"/>
      <c r="H13" s="124" t="s">
        <v>194</v>
      </c>
      <c r="I13" s="124" t="s">
        <v>88</v>
      </c>
      <c r="J13" s="154"/>
      <c r="K13" s="286">
        <v>178951</v>
      </c>
      <c r="L13" s="121">
        <f>J13*K13</f>
        <v>0</v>
      </c>
    </row>
    <row r="14" spans="1:14" ht="25" x14ac:dyDescent="0.3">
      <c r="B14" s="327"/>
      <c r="C14" s="327"/>
      <c r="D14" s="327"/>
      <c r="E14" s="327"/>
      <c r="F14" s="327"/>
      <c r="H14" s="171" t="s">
        <v>369</v>
      </c>
      <c r="I14" s="166" t="s">
        <v>4</v>
      </c>
      <c r="J14" s="155">
        <v>3</v>
      </c>
      <c r="K14" s="286">
        <v>677</v>
      </c>
      <c r="L14" s="130">
        <f t="shared" si="1"/>
        <v>2031</v>
      </c>
      <c r="M14" s="267"/>
      <c r="N14" s="267"/>
    </row>
    <row r="15" spans="1:14" x14ac:dyDescent="0.3">
      <c r="B15" s="327"/>
      <c r="C15" s="327"/>
      <c r="D15" s="327"/>
      <c r="E15" s="327"/>
      <c r="F15" s="327"/>
      <c r="H15" s="166" t="s">
        <v>89</v>
      </c>
      <c r="I15" s="166" t="s">
        <v>90</v>
      </c>
      <c r="J15" s="154">
        <v>3</v>
      </c>
      <c r="K15" s="286">
        <v>547</v>
      </c>
      <c r="L15" s="121">
        <f t="shared" si="1"/>
        <v>1641</v>
      </c>
    </row>
    <row r="16" spans="1:14" x14ac:dyDescent="0.3">
      <c r="B16" s="327"/>
      <c r="C16" s="327"/>
      <c r="D16" s="327"/>
      <c r="E16" s="327"/>
      <c r="F16" s="327"/>
      <c r="H16" s="166" t="s">
        <v>91</v>
      </c>
      <c r="I16" s="166" t="s">
        <v>92</v>
      </c>
      <c r="J16" s="154">
        <v>3</v>
      </c>
      <c r="K16" s="286">
        <v>385</v>
      </c>
      <c r="L16" s="121">
        <f t="shared" si="1"/>
        <v>1155</v>
      </c>
    </row>
    <row r="17" spans="2:12" x14ac:dyDescent="0.3">
      <c r="B17" s="327"/>
      <c r="C17" s="327"/>
      <c r="D17" s="327"/>
      <c r="E17" s="327"/>
      <c r="F17" s="327"/>
      <c r="H17" s="166" t="s">
        <v>93</v>
      </c>
      <c r="I17" s="166" t="s">
        <v>94</v>
      </c>
      <c r="J17" s="154">
        <v>3</v>
      </c>
      <c r="K17" s="286">
        <v>194</v>
      </c>
      <c r="L17" s="121">
        <f t="shared" si="1"/>
        <v>582</v>
      </c>
    </row>
    <row r="18" spans="2:12" ht="34" customHeight="1" x14ac:dyDescent="0.3">
      <c r="B18" s="327"/>
      <c r="C18" s="327"/>
      <c r="D18" s="327"/>
      <c r="E18" s="327"/>
      <c r="F18" s="327"/>
      <c r="H18" s="321"/>
      <c r="I18" s="322"/>
      <c r="J18" s="322"/>
      <c r="K18" s="322"/>
      <c r="L18" s="322"/>
    </row>
    <row r="19" spans="2:12" x14ac:dyDescent="0.3">
      <c r="B19" s="327"/>
      <c r="C19" s="327"/>
      <c r="D19" s="327"/>
      <c r="E19" s="327"/>
      <c r="F19" s="327"/>
    </row>
    <row r="20" spans="2:12" ht="34.5" customHeight="1" x14ac:dyDescent="0.3">
      <c r="B20" s="327"/>
      <c r="C20" s="327"/>
      <c r="D20" s="327"/>
      <c r="E20" s="327"/>
      <c r="F20" s="327"/>
    </row>
    <row r="21" spans="2:12" x14ac:dyDescent="0.3">
      <c r="B21" s="327"/>
      <c r="C21" s="327"/>
      <c r="D21" s="327"/>
      <c r="E21" s="327"/>
      <c r="F21" s="327"/>
    </row>
    <row r="22" spans="2:12" x14ac:dyDescent="0.3">
      <c r="B22" s="327"/>
      <c r="C22" s="327"/>
      <c r="D22" s="327"/>
      <c r="E22" s="327"/>
      <c r="F22" s="327"/>
    </row>
    <row r="23" spans="2:12" x14ac:dyDescent="0.3">
      <c r="B23" s="328"/>
      <c r="C23" s="328"/>
      <c r="D23" s="328"/>
      <c r="E23" s="328"/>
      <c r="F23" s="328"/>
    </row>
    <row r="24" spans="2:12" x14ac:dyDescent="0.3">
      <c r="B24" s="328"/>
      <c r="C24" s="328"/>
      <c r="D24" s="328"/>
      <c r="E24" s="328"/>
      <c r="F24" s="328"/>
    </row>
    <row r="25" spans="2:12" x14ac:dyDescent="0.3">
      <c r="B25" s="328"/>
      <c r="C25" s="328"/>
      <c r="D25" s="328"/>
      <c r="E25" s="328"/>
      <c r="F25" s="328"/>
    </row>
    <row r="26" spans="2:12" x14ac:dyDescent="0.3">
      <c r="B26" s="328"/>
      <c r="C26" s="328"/>
      <c r="D26" s="328"/>
      <c r="E26" s="328"/>
      <c r="F26" s="328"/>
    </row>
    <row r="27" spans="2:12" x14ac:dyDescent="0.3">
      <c r="B27" s="328"/>
      <c r="C27" s="328"/>
      <c r="D27" s="328"/>
      <c r="E27" s="328"/>
      <c r="F27" s="328"/>
    </row>
    <row r="28" spans="2:12" x14ac:dyDescent="0.3">
      <c r="B28" s="328"/>
      <c r="C28" s="328"/>
      <c r="D28" s="328"/>
      <c r="E28" s="328"/>
      <c r="F28" s="328"/>
    </row>
    <row r="29" spans="2:12" x14ac:dyDescent="0.3">
      <c r="B29" s="328"/>
      <c r="C29" s="328"/>
      <c r="D29" s="328"/>
      <c r="E29" s="328"/>
      <c r="F29" s="328"/>
    </row>
    <row r="30" spans="2:12" x14ac:dyDescent="0.3">
      <c r="B30" s="328"/>
      <c r="C30" s="328"/>
      <c r="D30" s="328"/>
      <c r="E30" s="328"/>
      <c r="F30" s="328"/>
    </row>
    <row r="31" spans="2:12" ht="17.149999999999999" customHeight="1" x14ac:dyDescent="0.3">
      <c r="B31" s="328"/>
      <c r="C31" s="328"/>
      <c r="D31" s="328"/>
      <c r="E31" s="328"/>
      <c r="F31" s="328"/>
    </row>
  </sheetData>
  <sheetProtection algorithmName="SHA-512" hashValue="eFaaT4lqlm/XNhwZVN4fv/FzE7jF1USTTZfAwArE/lvhbP1OlXvG6h/a7dm7IYkGs26ZPcUVQKaUwV5kT7GwtA==" saltValue="c8LFZqmXxrs0NSIZ7lJVVw=="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23">
        <f>SUM(F:F)</f>
        <v>0</v>
      </c>
      <c r="F1" s="323"/>
      <c r="H1" s="107" t="s">
        <v>59</v>
      </c>
      <c r="I1" s="108"/>
      <c r="J1" s="108"/>
      <c r="K1" s="323">
        <f>SUM(L:L)</f>
        <v>0</v>
      </c>
      <c r="L1" s="323"/>
    </row>
    <row r="2" spans="1:12" x14ac:dyDescent="0.3">
      <c r="D2" s="109"/>
      <c r="E2" s="324" t="s">
        <v>76</v>
      </c>
      <c r="F2" s="324"/>
      <c r="K2" s="324" t="s">
        <v>76</v>
      </c>
      <c r="L2" s="324"/>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6">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404</v>
      </c>
      <c r="C8" s="165" t="s">
        <v>4</v>
      </c>
      <c r="D8" s="154"/>
      <c r="E8" s="286">
        <v>25</v>
      </c>
      <c r="F8" s="121">
        <f>D8*E8</f>
        <v>0</v>
      </c>
      <c r="G8" s="202"/>
      <c r="H8" s="136" t="s">
        <v>1</v>
      </c>
      <c r="I8" s="136" t="s">
        <v>2</v>
      </c>
      <c r="J8" s="136" t="s">
        <v>19</v>
      </c>
      <c r="K8" s="136" t="s">
        <v>3</v>
      </c>
      <c r="L8" s="147" t="s">
        <v>20</v>
      </c>
    </row>
    <row r="9" spans="1:12" ht="25" x14ac:dyDescent="0.3">
      <c r="H9" s="166" t="s">
        <v>8</v>
      </c>
      <c r="I9" s="166" t="s">
        <v>9</v>
      </c>
      <c r="J9" s="155"/>
      <c r="K9" s="287" t="s">
        <v>10</v>
      </c>
      <c r="L9" s="130"/>
    </row>
    <row r="10" spans="1:12" x14ac:dyDescent="0.3">
      <c r="B10" s="203" t="s">
        <v>181</v>
      </c>
      <c r="C10" s="111"/>
      <c r="H10" s="166" t="s">
        <v>85</v>
      </c>
      <c r="I10" s="166" t="s">
        <v>86</v>
      </c>
      <c r="J10" s="155"/>
      <c r="K10" s="286">
        <v>301</v>
      </c>
      <c r="L10" s="130">
        <f t="shared" ref="L10:L20" si="0">J10*K10</f>
        <v>0</v>
      </c>
    </row>
    <row r="11" spans="1:12" ht="25" x14ac:dyDescent="0.3">
      <c r="B11" s="114" t="s">
        <v>1</v>
      </c>
      <c r="C11" s="114" t="s">
        <v>2</v>
      </c>
      <c r="D11" s="114" t="s">
        <v>19</v>
      </c>
      <c r="E11" s="114" t="s">
        <v>3</v>
      </c>
      <c r="F11" s="115" t="s">
        <v>20</v>
      </c>
      <c r="H11" s="177" t="s">
        <v>257</v>
      </c>
      <c r="I11" s="166" t="s">
        <v>13</v>
      </c>
      <c r="J11" s="155"/>
      <c r="K11" s="286">
        <v>91</v>
      </c>
      <c r="L11" s="130">
        <f t="shared" si="0"/>
        <v>0</v>
      </c>
    </row>
    <row r="12" spans="1:12" ht="25" x14ac:dyDescent="0.3">
      <c r="B12" s="165" t="s">
        <v>254</v>
      </c>
      <c r="C12" s="165" t="s">
        <v>81</v>
      </c>
      <c r="D12" s="154"/>
      <c r="E12" s="120">
        <v>442</v>
      </c>
      <c r="F12" s="121">
        <f t="shared" ref="F12:F15" si="1">D12*E12</f>
        <v>0</v>
      </c>
      <c r="H12" s="177" t="s">
        <v>258</v>
      </c>
      <c r="I12" s="166" t="s">
        <v>13</v>
      </c>
      <c r="J12" s="155"/>
      <c r="K12" s="286">
        <v>128</v>
      </c>
      <c r="L12" s="130">
        <f t="shared" si="0"/>
        <v>0</v>
      </c>
    </row>
    <row r="13" spans="1:12" ht="25" x14ac:dyDescent="0.3">
      <c r="B13" s="167" t="s">
        <v>255</v>
      </c>
      <c r="C13" s="165" t="s">
        <v>82</v>
      </c>
      <c r="D13" s="154"/>
      <c r="E13" s="286">
        <v>280</v>
      </c>
      <c r="F13" s="121">
        <f t="shared" si="1"/>
        <v>0</v>
      </c>
      <c r="H13" s="177" t="s">
        <v>259</v>
      </c>
      <c r="I13" s="166" t="s">
        <v>13</v>
      </c>
      <c r="J13" s="155"/>
      <c r="K13" s="286">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6">
        <v>240</v>
      </c>
      <c r="L14" s="130">
        <f t="shared" si="0"/>
        <v>0</v>
      </c>
    </row>
    <row r="15" spans="1:12" ht="37.5" x14ac:dyDescent="0.3">
      <c r="B15" s="167" t="s">
        <v>345</v>
      </c>
      <c r="C15" s="165" t="s">
        <v>4</v>
      </c>
      <c r="D15" s="154"/>
      <c r="E15" s="120">
        <v>8820</v>
      </c>
      <c r="F15" s="121">
        <f t="shared" si="1"/>
        <v>0</v>
      </c>
      <c r="H15" s="177" t="s">
        <v>87</v>
      </c>
      <c r="I15" s="166" t="s">
        <v>13</v>
      </c>
      <c r="J15" s="155"/>
      <c r="K15" s="286">
        <v>32</v>
      </c>
      <c r="L15" s="130">
        <f t="shared" si="0"/>
        <v>0</v>
      </c>
    </row>
    <row r="16" spans="1:12" ht="25" x14ac:dyDescent="0.3">
      <c r="B16" s="192" t="s">
        <v>232</v>
      </c>
      <c r="H16" s="177" t="s">
        <v>194</v>
      </c>
      <c r="I16" s="166" t="s">
        <v>88</v>
      </c>
      <c r="J16" s="154"/>
      <c r="K16" s="286">
        <v>178951</v>
      </c>
      <c r="L16" s="121">
        <f t="shared" ref="L16" si="2">J16*K16</f>
        <v>0</v>
      </c>
    </row>
    <row r="17" spans="2:12" ht="25" x14ac:dyDescent="0.3">
      <c r="B17" s="201" t="s">
        <v>0</v>
      </c>
      <c r="C17" s="111"/>
      <c r="D17" s="112"/>
      <c r="E17" s="112"/>
      <c r="F17" s="113"/>
      <c r="H17" s="177" t="s">
        <v>369</v>
      </c>
      <c r="I17" s="166" t="s">
        <v>4</v>
      </c>
      <c r="J17" s="155"/>
      <c r="K17" s="286">
        <v>677</v>
      </c>
      <c r="L17" s="130">
        <f t="shared" si="0"/>
        <v>0</v>
      </c>
    </row>
    <row r="18" spans="2:12" x14ac:dyDescent="0.3">
      <c r="B18" s="114" t="s">
        <v>1</v>
      </c>
      <c r="C18" s="114" t="s">
        <v>2</v>
      </c>
      <c r="D18" s="114" t="s">
        <v>19</v>
      </c>
      <c r="E18" s="114" t="s">
        <v>3</v>
      </c>
      <c r="F18" s="115" t="s">
        <v>20</v>
      </c>
      <c r="H18" s="166" t="s">
        <v>89</v>
      </c>
      <c r="I18" s="166" t="s">
        <v>90</v>
      </c>
      <c r="J18" s="155"/>
      <c r="K18" s="286">
        <v>547</v>
      </c>
      <c r="L18" s="130">
        <f t="shared" si="0"/>
        <v>0</v>
      </c>
    </row>
    <row r="19" spans="2:12" ht="25" x14ac:dyDescent="0.3">
      <c r="B19" s="117" t="s">
        <v>250</v>
      </c>
      <c r="C19" s="118" t="s">
        <v>4</v>
      </c>
      <c r="D19" s="154"/>
      <c r="E19" s="120">
        <v>139</v>
      </c>
      <c r="F19" s="130">
        <f>D19*E19</f>
        <v>0</v>
      </c>
      <c r="H19" s="166" t="s">
        <v>91</v>
      </c>
      <c r="I19" s="166" t="s">
        <v>92</v>
      </c>
      <c r="J19" s="155"/>
      <c r="K19" s="286">
        <v>385</v>
      </c>
      <c r="L19" s="130">
        <f t="shared" si="0"/>
        <v>0</v>
      </c>
    </row>
    <row r="20" spans="2:12" ht="25" x14ac:dyDescent="0.3">
      <c r="B20" s="117" t="s">
        <v>251</v>
      </c>
      <c r="C20" s="118" t="s">
        <v>4</v>
      </c>
      <c r="D20" s="154"/>
      <c r="E20" s="120">
        <v>32</v>
      </c>
      <c r="F20" s="130">
        <f>D20*E20</f>
        <v>0</v>
      </c>
      <c r="H20" s="166" t="s">
        <v>93</v>
      </c>
      <c r="I20" s="166" t="s">
        <v>94</v>
      </c>
      <c r="J20" s="155"/>
      <c r="K20" s="286">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21"/>
      <c r="I22" s="322"/>
      <c r="J22" s="322"/>
      <c r="K22" s="322"/>
      <c r="L22" s="322"/>
    </row>
    <row r="23" spans="2:12" ht="36" customHeight="1" x14ac:dyDescent="0.3">
      <c r="B23" s="118" t="s">
        <v>5</v>
      </c>
      <c r="C23" s="118" t="s">
        <v>6</v>
      </c>
      <c r="D23" s="154"/>
      <c r="E23" s="120">
        <v>46</v>
      </c>
      <c r="F23" s="130">
        <f>D23*E23</f>
        <v>0</v>
      </c>
    </row>
  </sheetData>
  <sheetProtection algorithmName="SHA-512" hashValue="QUffWxVxZeh9oYkyE7ybzcXpoqkV7QDXUT1cLM282hIqvB0icuRyAwfKsekZx3M/mC3TQeUkv1PJ2vSixxiXoQ==" saltValue="swdzWMyZCju2BckiX6b/uw=="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59</v>
      </c>
      <c r="I1" s="108"/>
      <c r="J1" s="108"/>
      <c r="K1" s="323">
        <f>SUM(L:L)</f>
        <v>0</v>
      </c>
      <c r="L1" s="323"/>
    </row>
    <row r="2" spans="2:12" x14ac:dyDescent="0.3">
      <c r="D2" s="109"/>
      <c r="E2" s="324" t="s">
        <v>76</v>
      </c>
      <c r="F2" s="324"/>
      <c r="K2" s="324" t="s">
        <v>76</v>
      </c>
      <c r="L2" s="324"/>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6" t="s">
        <v>10</v>
      </c>
      <c r="L5" s="121"/>
    </row>
    <row r="6" spans="2:12" x14ac:dyDescent="0.3">
      <c r="B6" s="166" t="s">
        <v>278</v>
      </c>
      <c r="C6" s="166" t="s">
        <v>103</v>
      </c>
      <c r="D6" s="154"/>
      <c r="E6" s="288">
        <v>2290</v>
      </c>
      <c r="F6" s="121">
        <f t="shared" ref="F6:F12" si="0">D6*E6</f>
        <v>0</v>
      </c>
      <c r="H6" s="117" t="s">
        <v>256</v>
      </c>
      <c r="I6" s="118" t="s">
        <v>82</v>
      </c>
      <c r="J6" s="154"/>
      <c r="K6" s="286">
        <v>533</v>
      </c>
      <c r="L6" s="121">
        <f t="shared" ref="L6:L17" si="1">J6*K6</f>
        <v>0</v>
      </c>
    </row>
    <row r="7" spans="2:12" ht="25" x14ac:dyDescent="0.3">
      <c r="B7" s="175" t="s">
        <v>195</v>
      </c>
      <c r="C7" s="166" t="s">
        <v>104</v>
      </c>
      <c r="D7" s="154"/>
      <c r="E7" s="288">
        <v>273</v>
      </c>
      <c r="F7" s="121">
        <f t="shared" si="0"/>
        <v>0</v>
      </c>
      <c r="H7" s="117" t="s">
        <v>85</v>
      </c>
      <c r="I7" s="118" t="s">
        <v>86</v>
      </c>
      <c r="J7" s="154"/>
      <c r="K7" s="286">
        <v>301</v>
      </c>
      <c r="L7" s="121">
        <f t="shared" si="1"/>
        <v>0</v>
      </c>
    </row>
    <row r="8" spans="2:12" ht="25" x14ac:dyDescent="0.3">
      <c r="B8" s="175" t="s">
        <v>196</v>
      </c>
      <c r="C8" s="166" t="s">
        <v>105</v>
      </c>
      <c r="D8" s="154"/>
      <c r="E8" s="288">
        <v>263</v>
      </c>
      <c r="F8" s="121">
        <f t="shared" si="0"/>
        <v>0</v>
      </c>
      <c r="H8" s="118" t="s">
        <v>257</v>
      </c>
      <c r="I8" s="118" t="s">
        <v>13</v>
      </c>
      <c r="J8" s="154"/>
      <c r="K8" s="286">
        <v>91</v>
      </c>
      <c r="L8" s="121">
        <f t="shared" si="1"/>
        <v>0</v>
      </c>
    </row>
    <row r="9" spans="2:12" ht="25" x14ac:dyDescent="0.3">
      <c r="B9" s="166" t="s">
        <v>106</v>
      </c>
      <c r="C9" s="166" t="s">
        <v>4</v>
      </c>
      <c r="D9" s="154"/>
      <c r="E9" s="288">
        <v>1272</v>
      </c>
      <c r="F9" s="121">
        <f t="shared" si="0"/>
        <v>0</v>
      </c>
      <c r="H9" s="118" t="s">
        <v>258</v>
      </c>
      <c r="I9" s="118" t="s">
        <v>13</v>
      </c>
      <c r="J9" s="154"/>
      <c r="K9" s="286">
        <v>128</v>
      </c>
      <c r="L9" s="121">
        <f t="shared" si="1"/>
        <v>0</v>
      </c>
    </row>
    <row r="10" spans="2:12" ht="25" x14ac:dyDescent="0.3">
      <c r="B10" s="166" t="s">
        <v>107</v>
      </c>
      <c r="C10" s="166" t="s">
        <v>4</v>
      </c>
      <c r="D10" s="154"/>
      <c r="E10" s="288">
        <v>5537</v>
      </c>
      <c r="F10" s="121">
        <f t="shared" si="0"/>
        <v>0</v>
      </c>
      <c r="H10" s="118" t="s">
        <v>259</v>
      </c>
      <c r="I10" s="118" t="s">
        <v>13</v>
      </c>
      <c r="J10" s="154"/>
      <c r="K10" s="286">
        <v>155</v>
      </c>
      <c r="L10" s="121">
        <f t="shared" si="1"/>
        <v>0</v>
      </c>
    </row>
    <row r="11" spans="2:12" ht="25" x14ac:dyDescent="0.3">
      <c r="B11" s="175" t="s">
        <v>262</v>
      </c>
      <c r="C11" s="166" t="s">
        <v>13</v>
      </c>
      <c r="D11" s="154"/>
      <c r="E11" s="288">
        <v>33</v>
      </c>
      <c r="F11" s="121">
        <f t="shared" si="0"/>
        <v>0</v>
      </c>
      <c r="H11" s="118" t="s">
        <v>260</v>
      </c>
      <c r="I11" s="118" t="s">
        <v>13</v>
      </c>
      <c r="J11" s="154"/>
      <c r="K11" s="286">
        <v>240</v>
      </c>
      <c r="L11" s="121">
        <f t="shared" si="1"/>
        <v>0</v>
      </c>
    </row>
    <row r="12" spans="2:12" ht="25" x14ac:dyDescent="0.3">
      <c r="B12" s="166" t="s">
        <v>108</v>
      </c>
      <c r="C12" s="166" t="s">
        <v>109</v>
      </c>
      <c r="D12" s="154"/>
      <c r="E12" s="286">
        <v>210</v>
      </c>
      <c r="F12" s="121">
        <f t="shared" si="0"/>
        <v>0</v>
      </c>
      <c r="H12" s="118" t="s">
        <v>87</v>
      </c>
      <c r="I12" s="118" t="s">
        <v>13</v>
      </c>
      <c r="J12" s="154"/>
      <c r="K12" s="286">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369</v>
      </c>
      <c r="I14" s="118" t="s">
        <v>4</v>
      </c>
      <c r="J14" s="154"/>
      <c r="K14" s="286">
        <v>677</v>
      </c>
      <c r="L14" s="121">
        <f t="shared" si="1"/>
        <v>0</v>
      </c>
    </row>
    <row r="15" spans="2:12" x14ac:dyDescent="0.3">
      <c r="B15" s="118" t="s">
        <v>254</v>
      </c>
      <c r="C15" s="118" t="s">
        <v>81</v>
      </c>
      <c r="D15" s="154"/>
      <c r="E15" s="120">
        <v>442</v>
      </c>
      <c r="F15" s="121">
        <f t="shared" ref="F15:F18" si="2">D15*E15</f>
        <v>0</v>
      </c>
      <c r="H15" s="118" t="s">
        <v>89</v>
      </c>
      <c r="I15" s="118" t="s">
        <v>90</v>
      </c>
      <c r="J15" s="154"/>
      <c r="K15" s="286">
        <v>547</v>
      </c>
      <c r="L15" s="121">
        <f t="shared" si="1"/>
        <v>0</v>
      </c>
    </row>
    <row r="16" spans="2:12" ht="25" x14ac:dyDescent="0.3">
      <c r="B16" s="117" t="s">
        <v>255</v>
      </c>
      <c r="C16" s="118" t="s">
        <v>82</v>
      </c>
      <c r="D16" s="154"/>
      <c r="E16" s="286">
        <v>280</v>
      </c>
      <c r="F16" s="121">
        <f t="shared" si="2"/>
        <v>0</v>
      </c>
      <c r="H16" s="118" t="s">
        <v>91</v>
      </c>
      <c r="I16" s="118" t="s">
        <v>92</v>
      </c>
      <c r="J16" s="154"/>
      <c r="K16" s="286">
        <v>385</v>
      </c>
      <c r="L16" s="121">
        <f t="shared" si="1"/>
        <v>0</v>
      </c>
    </row>
    <row r="17" spans="1:12" ht="37.5" x14ac:dyDescent="0.3">
      <c r="B17" s="117" t="s">
        <v>83</v>
      </c>
      <c r="C17" s="118" t="s">
        <v>4</v>
      </c>
      <c r="D17" s="154"/>
      <c r="E17" s="120">
        <v>5092</v>
      </c>
      <c r="F17" s="121">
        <f t="shared" si="2"/>
        <v>0</v>
      </c>
      <c r="H17" s="118" t="s">
        <v>93</v>
      </c>
      <c r="I17" s="118" t="s">
        <v>94</v>
      </c>
      <c r="J17" s="154"/>
      <c r="K17" s="286">
        <v>194</v>
      </c>
      <c r="L17" s="121">
        <f t="shared" si="1"/>
        <v>0</v>
      </c>
    </row>
    <row r="18" spans="1:12" ht="37.5" x14ac:dyDescent="0.3">
      <c r="A18" s="191" t="s">
        <v>231</v>
      </c>
      <c r="B18" s="156" t="s">
        <v>345</v>
      </c>
      <c r="C18" s="118" t="s">
        <v>4</v>
      </c>
      <c r="D18" s="154"/>
      <c r="E18" s="120">
        <v>8820</v>
      </c>
      <c r="F18" s="121">
        <f t="shared" si="2"/>
        <v>0</v>
      </c>
      <c r="H18" s="334"/>
      <c r="I18" s="334"/>
      <c r="J18" s="334"/>
      <c r="K18" s="334"/>
      <c r="L18" s="334"/>
    </row>
    <row r="19" spans="1:12" x14ac:dyDescent="0.3">
      <c r="B19" s="192" t="s">
        <v>232</v>
      </c>
      <c r="H19" s="198"/>
      <c r="I19" s="199"/>
      <c r="J19" s="199"/>
      <c r="K19" s="199"/>
      <c r="L19" s="199"/>
    </row>
    <row r="20" spans="1:12" ht="33" customHeight="1" x14ac:dyDescent="0.3">
      <c r="B20" s="325" t="s">
        <v>347</v>
      </c>
      <c r="C20" s="332"/>
      <c r="D20" s="332"/>
      <c r="E20" s="332"/>
      <c r="F20" s="332"/>
      <c r="H20" s="244" t="s">
        <v>405</v>
      </c>
      <c r="I20" s="200" t="s">
        <v>275</v>
      </c>
    </row>
    <row r="21" spans="1:12" x14ac:dyDescent="0.3">
      <c r="B21" s="333"/>
      <c r="C21" s="333"/>
      <c r="D21" s="333"/>
      <c r="E21" s="333"/>
      <c r="F21" s="333"/>
      <c r="H21" s="114" t="s">
        <v>1</v>
      </c>
      <c r="I21" s="114" t="s">
        <v>2</v>
      </c>
      <c r="J21" s="114" t="s">
        <v>19</v>
      </c>
      <c r="K21" s="114" t="s">
        <v>3</v>
      </c>
      <c r="L21" s="115" t="s">
        <v>20</v>
      </c>
    </row>
    <row r="22" spans="1:12" x14ac:dyDescent="0.3">
      <c r="B22" s="333"/>
      <c r="C22" s="333"/>
      <c r="D22" s="333"/>
      <c r="E22" s="333"/>
      <c r="F22" s="333"/>
      <c r="H22" s="329" t="s">
        <v>224</v>
      </c>
      <c r="I22" s="330"/>
      <c r="J22" s="330"/>
      <c r="K22" s="330"/>
      <c r="L22" s="331">
        <f>J22*59</f>
        <v>0</v>
      </c>
    </row>
    <row r="23" spans="1:12" x14ac:dyDescent="0.3">
      <c r="B23" s="333"/>
      <c r="C23" s="333"/>
      <c r="D23" s="333"/>
      <c r="E23" s="333"/>
      <c r="F23" s="333"/>
      <c r="H23" s="171" t="s">
        <v>220</v>
      </c>
      <c r="I23" s="171" t="s">
        <v>221</v>
      </c>
      <c r="J23" s="154"/>
      <c r="K23" s="286">
        <v>2149</v>
      </c>
      <c r="L23" s="121">
        <f>J23*K23</f>
        <v>0</v>
      </c>
    </row>
    <row r="24" spans="1:12" x14ac:dyDescent="0.3">
      <c r="B24" s="333"/>
      <c r="C24" s="333"/>
      <c r="D24" s="333"/>
      <c r="E24" s="333"/>
      <c r="F24" s="333"/>
      <c r="H24" s="171" t="s">
        <v>222</v>
      </c>
      <c r="I24" s="171" t="s">
        <v>221</v>
      </c>
      <c r="J24" s="154"/>
      <c r="K24" s="286">
        <v>2189</v>
      </c>
      <c r="L24" s="121">
        <f>J24*K24</f>
        <v>0</v>
      </c>
    </row>
    <row r="25" spans="1:12" x14ac:dyDescent="0.3">
      <c r="B25" s="333"/>
      <c r="C25" s="333"/>
      <c r="D25" s="333"/>
      <c r="E25" s="333"/>
      <c r="F25" s="333"/>
      <c r="H25" s="171" t="s">
        <v>223</v>
      </c>
      <c r="I25" s="171" t="s">
        <v>221</v>
      </c>
      <c r="J25" s="154"/>
      <c r="K25" s="286">
        <v>2338</v>
      </c>
      <c r="L25" s="121">
        <f>J25*K25</f>
        <v>0</v>
      </c>
    </row>
    <row r="26" spans="1:12" x14ac:dyDescent="0.3">
      <c r="B26" s="333"/>
      <c r="C26" s="333"/>
      <c r="D26" s="333"/>
      <c r="E26" s="333"/>
      <c r="F26" s="333"/>
    </row>
    <row r="27" spans="1:12" x14ac:dyDescent="0.3">
      <c r="B27" s="333"/>
      <c r="C27" s="333"/>
      <c r="D27" s="333"/>
      <c r="E27" s="333"/>
      <c r="F27" s="333"/>
    </row>
    <row r="28" spans="1:12" x14ac:dyDescent="0.3">
      <c r="B28" s="333"/>
      <c r="C28" s="333"/>
      <c r="D28" s="333"/>
      <c r="E28" s="333"/>
      <c r="F28" s="333"/>
    </row>
    <row r="29" spans="1:12" x14ac:dyDescent="0.3">
      <c r="B29" s="333"/>
      <c r="C29" s="333"/>
      <c r="D29" s="333"/>
      <c r="E29" s="333"/>
      <c r="F29" s="333"/>
    </row>
    <row r="30" spans="1:12" x14ac:dyDescent="0.3">
      <c r="B30" s="333"/>
      <c r="C30" s="333"/>
      <c r="D30" s="333"/>
      <c r="E30" s="333"/>
      <c r="F30" s="333"/>
    </row>
    <row r="31" spans="1:12" x14ac:dyDescent="0.3">
      <c r="B31" s="333"/>
      <c r="C31" s="333"/>
      <c r="D31" s="333"/>
      <c r="E31" s="333"/>
      <c r="F31" s="333"/>
    </row>
    <row r="32" spans="1:12" x14ac:dyDescent="0.3">
      <c r="B32" s="333"/>
      <c r="C32" s="333"/>
      <c r="D32" s="333"/>
      <c r="E32" s="333"/>
      <c r="F32" s="333"/>
    </row>
    <row r="33" spans="2:6" x14ac:dyDescent="0.3">
      <c r="B33" s="316"/>
      <c r="C33" s="316"/>
      <c r="D33" s="316"/>
      <c r="E33" s="316"/>
      <c r="F33" s="316"/>
    </row>
    <row r="34" spans="2:6" x14ac:dyDescent="0.3">
      <c r="B34" s="316"/>
      <c r="C34" s="316"/>
      <c r="D34" s="316"/>
      <c r="E34" s="316"/>
      <c r="F34" s="316"/>
    </row>
    <row r="35" spans="2:6" x14ac:dyDescent="0.3">
      <c r="B35" s="316"/>
      <c r="C35" s="316"/>
      <c r="D35" s="316"/>
      <c r="E35" s="316"/>
      <c r="F35" s="316"/>
    </row>
    <row r="36" spans="2:6" x14ac:dyDescent="0.3">
      <c r="B36" s="316"/>
      <c r="C36" s="316"/>
      <c r="D36" s="316"/>
      <c r="E36" s="316"/>
      <c r="F36" s="316"/>
    </row>
    <row r="37" spans="2:6" x14ac:dyDescent="0.3">
      <c r="B37" s="316"/>
      <c r="C37" s="316"/>
      <c r="D37" s="316"/>
      <c r="E37" s="316"/>
      <c r="F37" s="316"/>
    </row>
    <row r="38" spans="2:6" x14ac:dyDescent="0.3">
      <c r="B38" s="316"/>
      <c r="C38" s="316"/>
      <c r="D38" s="316"/>
      <c r="E38" s="316"/>
      <c r="F38" s="316"/>
    </row>
    <row r="39" spans="2:6" x14ac:dyDescent="0.3">
      <c r="B39" s="316"/>
      <c r="C39" s="316"/>
      <c r="D39" s="316"/>
      <c r="E39" s="316"/>
      <c r="F39" s="316"/>
    </row>
    <row r="40" spans="2:6" x14ac:dyDescent="0.3">
      <c r="B40" s="316"/>
      <c r="C40" s="316"/>
      <c r="D40" s="316"/>
      <c r="E40" s="316"/>
      <c r="F40" s="316"/>
    </row>
    <row r="41" spans="2:6" ht="83.5" customHeight="1" x14ac:dyDescent="0.3">
      <c r="B41" s="316"/>
      <c r="C41" s="316"/>
      <c r="D41" s="316"/>
      <c r="E41" s="316"/>
      <c r="F41" s="316"/>
    </row>
  </sheetData>
  <sheetProtection algorithmName="SHA-512" hashValue="R9gAiNZtb+hMDGNnHyEONGPeaY5Z7kYB1RzgMGrnS1MX9dXI8DsYa2ODztVEjDdy+Auh6keN33ihdqOrDYYURg==" saltValue="ewXEU7YFnNHGvJPVHCyJHA=="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23">
        <f>SUM(F:F)</f>
        <v>215</v>
      </c>
      <c r="F1" s="323"/>
    </row>
    <row r="2" spans="2:9" x14ac:dyDescent="0.3">
      <c r="D2" s="109"/>
      <c r="E2" s="324" t="s">
        <v>76</v>
      </c>
      <c r="F2" s="324"/>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v>1</v>
      </c>
      <c r="E5" s="137">
        <v>93</v>
      </c>
      <c r="F5" s="121">
        <f>D5*E5</f>
        <v>93</v>
      </c>
    </row>
    <row r="6" spans="2:9" x14ac:dyDescent="0.3">
      <c r="B6" s="124" t="s">
        <v>111</v>
      </c>
      <c r="C6" s="124" t="s">
        <v>4</v>
      </c>
      <c r="D6" s="154"/>
      <c r="E6" s="137">
        <v>474</v>
      </c>
      <c r="F6" s="121">
        <f>D6*E6</f>
        <v>0</v>
      </c>
    </row>
    <row r="7" spans="2:9" x14ac:dyDescent="0.3">
      <c r="B7" s="124" t="s">
        <v>370</v>
      </c>
      <c r="C7" s="124" t="s">
        <v>12</v>
      </c>
      <c r="D7" s="154">
        <v>1</v>
      </c>
      <c r="E7" s="137">
        <v>122</v>
      </c>
      <c r="F7" s="121">
        <f>D7*E7</f>
        <v>122</v>
      </c>
    </row>
    <row r="8" spans="2:9" x14ac:dyDescent="0.3">
      <c r="B8" s="202"/>
      <c r="G8" s="123"/>
      <c r="H8" s="123"/>
      <c r="I8" s="123"/>
    </row>
    <row r="9" spans="2:9" x14ac:dyDescent="0.3">
      <c r="B9" s="180"/>
    </row>
  </sheetData>
  <sheetProtection algorithmName="SHA-512" hashValue="ap8OLIOk/SPTK9+jyYfldIxpHDxnF/L885f0A/DmuXwTPemXHIrIp/FeD9SGSiVMQeSSORn7CZjW8phQjXr7og==" saltValue="nbrxoY1ZdMmMMb4++bDoUQ=="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23">
        <f>SUM(F:F)</f>
        <v>0</v>
      </c>
      <c r="F1" s="323"/>
      <c r="H1" s="107" t="s">
        <v>59</v>
      </c>
      <c r="I1" s="108"/>
      <c r="J1" s="108"/>
      <c r="K1" s="323">
        <f>SUM(L:L)</f>
        <v>0</v>
      </c>
      <c r="L1" s="323"/>
      <c r="M1" s="3" t="s">
        <v>166</v>
      </c>
    </row>
    <row r="2" spans="2:14" ht="29.15" customHeight="1" x14ac:dyDescent="0.3">
      <c r="D2" s="109"/>
      <c r="E2" s="324" t="s">
        <v>76</v>
      </c>
      <c r="F2" s="324"/>
      <c r="H2" s="344" t="s">
        <v>216</v>
      </c>
      <c r="I2" s="343"/>
      <c r="J2" s="343"/>
      <c r="K2" s="324" t="s">
        <v>76</v>
      </c>
      <c r="L2" s="324"/>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6">
        <v>345</v>
      </c>
      <c r="F5" s="121">
        <f>D5*E5</f>
        <v>0</v>
      </c>
      <c r="H5" s="335" t="s">
        <v>197</v>
      </c>
      <c r="I5" s="336"/>
      <c r="J5" s="336"/>
      <c r="K5" s="336"/>
      <c r="L5" s="337"/>
    </row>
    <row r="6" spans="2:14" ht="25" x14ac:dyDescent="0.3">
      <c r="B6" s="124" t="s">
        <v>8</v>
      </c>
      <c r="C6" s="124" t="s">
        <v>113</v>
      </c>
      <c r="D6" s="154"/>
      <c r="E6" s="149" t="s">
        <v>10</v>
      </c>
      <c r="F6" s="121"/>
      <c r="H6" s="181" t="s">
        <v>115</v>
      </c>
      <c r="I6" s="338" t="s">
        <v>13</v>
      </c>
      <c r="J6" s="154"/>
      <c r="K6" s="285">
        <v>2005</v>
      </c>
      <c r="L6" s="121">
        <f>J6*K6</f>
        <v>0</v>
      </c>
      <c r="N6" s="179"/>
    </row>
    <row r="7" spans="2:14" x14ac:dyDescent="0.3">
      <c r="H7" s="181" t="s">
        <v>198</v>
      </c>
      <c r="I7" s="339"/>
      <c r="J7" s="154"/>
      <c r="K7" s="285">
        <v>2215</v>
      </c>
      <c r="L7" s="121">
        <f t="shared" ref="L7:L8" si="0">J7*K7</f>
        <v>0</v>
      </c>
      <c r="N7" s="179"/>
    </row>
    <row r="8" spans="2:14" x14ac:dyDescent="0.3">
      <c r="B8" s="341" t="s">
        <v>376</v>
      </c>
      <c r="C8" s="342"/>
      <c r="D8" s="342"/>
      <c r="E8" s="342"/>
      <c r="F8" s="342"/>
      <c r="H8" s="181" t="s">
        <v>199</v>
      </c>
      <c r="I8" s="340"/>
      <c r="J8" s="154"/>
      <c r="K8" s="285">
        <v>2379</v>
      </c>
      <c r="L8" s="121">
        <f t="shared" si="0"/>
        <v>0</v>
      </c>
      <c r="N8" s="179"/>
    </row>
    <row r="9" spans="2:14" x14ac:dyDescent="0.3">
      <c r="B9" s="342"/>
      <c r="C9" s="342"/>
      <c r="D9" s="342"/>
      <c r="E9" s="342"/>
      <c r="F9" s="342"/>
      <c r="H9" s="335" t="s">
        <v>233</v>
      </c>
      <c r="I9" s="336"/>
      <c r="J9" s="336"/>
      <c r="K9" s="336"/>
      <c r="L9" s="337"/>
      <c r="N9" s="179"/>
    </row>
    <row r="10" spans="2:14" x14ac:dyDescent="0.3">
      <c r="B10" s="342"/>
      <c r="C10" s="342"/>
      <c r="D10" s="342"/>
      <c r="E10" s="342"/>
      <c r="F10" s="342"/>
      <c r="H10" s="181" t="s">
        <v>115</v>
      </c>
      <c r="I10" s="338" t="s">
        <v>13</v>
      </c>
      <c r="J10" s="154"/>
      <c r="K10" s="285">
        <v>2119</v>
      </c>
      <c r="L10" s="121">
        <f>J10*K10</f>
        <v>0</v>
      </c>
      <c r="N10" s="179"/>
    </row>
    <row r="11" spans="2:14" x14ac:dyDescent="0.3">
      <c r="B11" s="342"/>
      <c r="C11" s="342"/>
      <c r="D11" s="342"/>
      <c r="E11" s="342"/>
      <c r="F11" s="342"/>
      <c r="H11" s="181" t="s">
        <v>198</v>
      </c>
      <c r="I11" s="339"/>
      <c r="J11" s="154"/>
      <c r="K11" s="285">
        <v>2350</v>
      </c>
      <c r="L11" s="121">
        <f>J11*K11</f>
        <v>0</v>
      </c>
      <c r="N11" s="179"/>
    </row>
    <row r="12" spans="2:14" x14ac:dyDescent="0.3">
      <c r="B12" s="342"/>
      <c r="C12" s="342"/>
      <c r="D12" s="342"/>
      <c r="E12" s="342"/>
      <c r="F12" s="342"/>
      <c r="H12" s="181" t="s">
        <v>199</v>
      </c>
      <c r="I12" s="340"/>
      <c r="J12" s="154"/>
      <c r="K12" s="285">
        <v>2518</v>
      </c>
      <c r="L12" s="121">
        <f t="shared" ref="L12" si="1">J12*K12</f>
        <v>0</v>
      </c>
      <c r="N12" s="179"/>
    </row>
    <row r="13" spans="2:14" x14ac:dyDescent="0.3">
      <c r="B13" s="342"/>
      <c r="C13" s="342"/>
      <c r="D13" s="342"/>
      <c r="E13" s="342"/>
      <c r="F13" s="342"/>
      <c r="H13" s="335" t="s">
        <v>234</v>
      </c>
      <c r="I13" s="336"/>
      <c r="J13" s="336"/>
      <c r="K13" s="336"/>
      <c r="L13" s="337"/>
      <c r="N13" s="179"/>
    </row>
    <row r="14" spans="2:14" x14ac:dyDescent="0.3">
      <c r="B14" s="342"/>
      <c r="C14" s="342"/>
      <c r="D14" s="342"/>
      <c r="E14" s="342"/>
      <c r="F14" s="342"/>
      <c r="H14" s="181" t="s">
        <v>115</v>
      </c>
      <c r="I14" s="338" t="s">
        <v>13</v>
      </c>
      <c r="J14" s="154"/>
      <c r="K14" s="285">
        <v>1329</v>
      </c>
      <c r="L14" s="121">
        <f>J14*K14</f>
        <v>0</v>
      </c>
      <c r="N14" s="179"/>
    </row>
    <row r="15" spans="2:14" x14ac:dyDescent="0.3">
      <c r="B15" s="342"/>
      <c r="C15" s="342"/>
      <c r="D15" s="342"/>
      <c r="E15" s="342"/>
      <c r="F15" s="342"/>
      <c r="H15" s="181" t="s">
        <v>198</v>
      </c>
      <c r="I15" s="339"/>
      <c r="J15" s="154"/>
      <c r="K15" s="285">
        <v>1399</v>
      </c>
      <c r="L15" s="121">
        <f t="shared" ref="L15:L16" si="2">J15*K15</f>
        <v>0</v>
      </c>
      <c r="N15" s="179"/>
    </row>
    <row r="16" spans="2:14" x14ac:dyDescent="0.3">
      <c r="B16" s="342"/>
      <c r="C16" s="342"/>
      <c r="D16" s="342"/>
      <c r="E16" s="342"/>
      <c r="F16" s="342"/>
      <c r="H16" s="181" t="s">
        <v>199</v>
      </c>
      <c r="I16" s="340"/>
      <c r="J16" s="154"/>
      <c r="K16" s="285">
        <v>1617</v>
      </c>
      <c r="L16" s="121">
        <f t="shared" si="2"/>
        <v>0</v>
      </c>
      <c r="N16" s="179"/>
    </row>
    <row r="17" spans="2:12" ht="25" x14ac:dyDescent="0.3">
      <c r="B17" s="342"/>
      <c r="C17" s="342"/>
      <c r="D17" s="342"/>
      <c r="E17" s="342"/>
      <c r="F17" s="342"/>
      <c r="H17" s="175" t="s">
        <v>200</v>
      </c>
      <c r="I17" s="162" t="s">
        <v>116</v>
      </c>
      <c r="J17" s="172"/>
      <c r="K17" s="125" t="s">
        <v>118</v>
      </c>
      <c r="L17" s="121"/>
    </row>
    <row r="18" spans="2:12" ht="25" x14ac:dyDescent="0.3">
      <c r="B18" s="342"/>
      <c r="C18" s="342"/>
      <c r="D18" s="342"/>
      <c r="E18" s="342"/>
      <c r="F18" s="342"/>
      <c r="H18" s="175" t="s">
        <v>87</v>
      </c>
      <c r="I18" s="164" t="s">
        <v>13</v>
      </c>
      <c r="J18" s="172"/>
      <c r="K18" s="286">
        <v>32</v>
      </c>
      <c r="L18" s="121">
        <f>J18*K18</f>
        <v>0</v>
      </c>
    </row>
    <row r="19" spans="2:12" ht="25" x14ac:dyDescent="0.3">
      <c r="B19" s="342"/>
      <c r="C19" s="342"/>
      <c r="D19" s="342"/>
      <c r="E19" s="342"/>
      <c r="F19" s="342"/>
      <c r="H19" s="175" t="s">
        <v>117</v>
      </c>
      <c r="I19" s="164" t="s">
        <v>13</v>
      </c>
      <c r="J19" s="172"/>
      <c r="K19" s="286">
        <v>33</v>
      </c>
      <c r="L19" s="121">
        <f>J19*K19</f>
        <v>0</v>
      </c>
    </row>
    <row r="20" spans="2:12" ht="34" customHeight="1" x14ac:dyDescent="0.3">
      <c r="B20" s="342"/>
      <c r="C20" s="342"/>
      <c r="D20" s="342"/>
      <c r="E20" s="342"/>
      <c r="F20" s="342"/>
      <c r="H20" s="321"/>
      <c r="I20" s="322"/>
      <c r="J20" s="322"/>
      <c r="K20" s="322"/>
      <c r="L20" s="322"/>
    </row>
    <row r="21" spans="2:12" x14ac:dyDescent="0.3">
      <c r="B21" s="342"/>
      <c r="C21" s="342"/>
      <c r="D21" s="342"/>
      <c r="E21" s="342"/>
      <c r="F21" s="342"/>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ht="26.15" customHeight="1" x14ac:dyDescent="0.3">
      <c r="B40" s="343"/>
      <c r="C40" s="343"/>
      <c r="D40" s="343"/>
      <c r="E40" s="343"/>
      <c r="F40" s="343"/>
    </row>
  </sheetData>
  <sheetProtection algorithmName="SHA-512" hashValue="DYC3oMCKIxvX/Jr+iSj1CvKDGtFiVR0DR4x0JfYE54xXHoHsB3opyBt5gE62gm2cg0zMrKL+XhNTjng/hM4wzA==" saltValue="elza4ywARwotDIP4gIqID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23">
        <f>SUM(F:F)</f>
        <v>0</v>
      </c>
      <c r="F1" s="323"/>
    </row>
    <row r="2" spans="2:6" x14ac:dyDescent="0.3">
      <c r="D2" s="109"/>
      <c r="E2" s="324" t="s">
        <v>76</v>
      </c>
      <c r="F2" s="324"/>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6">
        <v>531</v>
      </c>
      <c r="F6" s="121">
        <f t="shared" si="0"/>
        <v>0</v>
      </c>
    </row>
    <row r="7" spans="2:6" x14ac:dyDescent="0.3">
      <c r="B7" s="166" t="s">
        <v>121</v>
      </c>
      <c r="C7" s="124" t="s">
        <v>12</v>
      </c>
      <c r="D7" s="154"/>
      <c r="E7" s="286">
        <v>513</v>
      </c>
      <c r="F7" s="121">
        <f t="shared" si="0"/>
        <v>0</v>
      </c>
    </row>
    <row r="8" spans="2:6" ht="25" x14ac:dyDescent="0.3">
      <c r="B8" s="175" t="s">
        <v>201</v>
      </c>
      <c r="C8" s="166" t="s">
        <v>279</v>
      </c>
      <c r="D8" s="154"/>
      <c r="E8" s="286">
        <v>1450</v>
      </c>
      <c r="F8" s="121">
        <f>D8*E8</f>
        <v>0</v>
      </c>
    </row>
    <row r="9" spans="2:6" x14ac:dyDescent="0.3">
      <c r="B9" s="175" t="s">
        <v>126</v>
      </c>
      <c r="C9" s="166" t="s">
        <v>125</v>
      </c>
      <c r="D9" s="154"/>
      <c r="E9" s="286">
        <v>1059</v>
      </c>
      <c r="F9" s="121">
        <f t="shared" si="0"/>
        <v>0</v>
      </c>
    </row>
    <row r="10" spans="2:6" ht="29.5" customHeight="1" x14ac:dyDescent="0.3">
      <c r="B10" s="175" t="s">
        <v>202</v>
      </c>
      <c r="C10" s="124" t="s">
        <v>122</v>
      </c>
      <c r="D10" s="154"/>
      <c r="E10" s="286">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VSPqFu4zgMQjAFaj0SyW0I3hTv5A6C3XIdWq07YVBxgbTm3n3jVSEWLO030zvizt1LNnR3eT1lUm4Ma0Xibr/A==" saltValue="8GkvMiE2gLikiH0RCJMSig=="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190</v>
      </c>
      <c r="I1" s="108"/>
      <c r="J1" s="108"/>
      <c r="K1" s="323">
        <f>SUM(L:L)</f>
        <v>0</v>
      </c>
      <c r="L1" s="323"/>
    </row>
    <row r="2" spans="2:12" ht="30" customHeight="1" x14ac:dyDescent="0.3">
      <c r="D2" s="109"/>
      <c r="E2" s="324" t="s">
        <v>76</v>
      </c>
      <c r="F2" s="324"/>
      <c r="H2" s="344" t="s">
        <v>228</v>
      </c>
      <c r="I2" s="343"/>
      <c r="J2" s="343"/>
      <c r="K2" s="324" t="s">
        <v>76</v>
      </c>
      <c r="L2" s="324"/>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6">
        <v>699</v>
      </c>
      <c r="F6" s="130">
        <f t="shared" si="0"/>
        <v>0</v>
      </c>
    </row>
    <row r="7" spans="2:12" ht="29.15" customHeight="1" x14ac:dyDescent="0.3">
      <c r="B7" s="171" t="s">
        <v>206</v>
      </c>
      <c r="C7" s="171" t="s">
        <v>207</v>
      </c>
      <c r="D7" s="155"/>
      <c r="E7" s="286">
        <v>280</v>
      </c>
      <c r="F7" s="130">
        <f t="shared" si="0"/>
        <v>0</v>
      </c>
    </row>
    <row r="8" spans="2:12" ht="27.65" customHeight="1" x14ac:dyDescent="0.3">
      <c r="B8" s="163" t="s">
        <v>208</v>
      </c>
      <c r="C8" s="163" t="s">
        <v>187</v>
      </c>
      <c r="D8" s="155"/>
      <c r="E8" s="286">
        <v>1233</v>
      </c>
      <c r="F8" s="130">
        <f t="shared" si="0"/>
        <v>0</v>
      </c>
    </row>
    <row r="9" spans="2:12" ht="25" x14ac:dyDescent="0.3">
      <c r="B9" s="163" t="s">
        <v>209</v>
      </c>
      <c r="C9" s="163" t="s">
        <v>187</v>
      </c>
      <c r="D9" s="155"/>
      <c r="E9" s="286">
        <v>2958</v>
      </c>
      <c r="F9" s="130">
        <f t="shared" si="0"/>
        <v>0</v>
      </c>
    </row>
    <row r="10" spans="2:12" ht="29.15" customHeight="1" x14ac:dyDescent="0.3">
      <c r="B10" s="163" t="s">
        <v>210</v>
      </c>
      <c r="C10" s="163" t="s">
        <v>187</v>
      </c>
      <c r="D10" s="155"/>
      <c r="E10" s="286">
        <v>4685</v>
      </c>
      <c r="F10" s="130">
        <f t="shared" si="0"/>
        <v>0</v>
      </c>
    </row>
    <row r="11" spans="2:12" ht="37.5" x14ac:dyDescent="0.3">
      <c r="B11" s="124" t="s">
        <v>211</v>
      </c>
      <c r="C11" s="124" t="s">
        <v>212</v>
      </c>
      <c r="D11" s="148">
        <f>SUM(K1)</f>
        <v>0</v>
      </c>
      <c r="E11" s="289">
        <v>4.0000000000000001E-3</v>
      </c>
      <c r="F11" s="130">
        <f>IF(D11&gt;1000000,D11*E11,0)</f>
        <v>0</v>
      </c>
    </row>
    <row r="12" spans="2:12" ht="28" customHeight="1" x14ac:dyDescent="0.3">
      <c r="B12" s="124" t="s">
        <v>99</v>
      </c>
      <c r="C12" s="124" t="s">
        <v>123</v>
      </c>
      <c r="D12" s="155"/>
      <c r="E12" s="286">
        <v>536</v>
      </c>
      <c r="F12" s="130">
        <f>D12*E12</f>
        <v>0</v>
      </c>
    </row>
    <row r="13" spans="2:12" ht="37.5" x14ac:dyDescent="0.3">
      <c r="B13" s="158" t="s">
        <v>265</v>
      </c>
      <c r="C13" s="158" t="s">
        <v>215</v>
      </c>
      <c r="D13" s="148">
        <f>SUM(K1)</f>
        <v>0</v>
      </c>
      <c r="E13" s="290" t="s">
        <v>266</v>
      </c>
      <c r="F13" s="159">
        <f>IF(D13=0,0,MAX(D13*0.1,5000))</f>
        <v>0</v>
      </c>
    </row>
    <row r="14" spans="2:12" ht="29.15" customHeight="1" x14ac:dyDescent="0.3">
      <c r="B14" s="171" t="s">
        <v>214</v>
      </c>
      <c r="C14" s="171" t="s">
        <v>280</v>
      </c>
      <c r="D14" s="155"/>
      <c r="E14" s="288" t="s">
        <v>118</v>
      </c>
      <c r="F14" s="193"/>
    </row>
    <row r="15" spans="2:12" x14ac:dyDescent="0.3">
      <c r="B15" s="124" t="s">
        <v>124</v>
      </c>
      <c r="C15" s="124" t="s">
        <v>125</v>
      </c>
      <c r="D15" s="155"/>
      <c r="E15" s="286">
        <v>849</v>
      </c>
      <c r="F15" s="130">
        <f t="shared" si="0"/>
        <v>0</v>
      </c>
    </row>
    <row r="16" spans="2:12" x14ac:dyDescent="0.3">
      <c r="B16" s="171" t="s">
        <v>213</v>
      </c>
      <c r="C16" s="171" t="s">
        <v>279</v>
      </c>
      <c r="D16" s="155"/>
      <c r="E16" s="286">
        <v>1450</v>
      </c>
      <c r="F16" s="130">
        <f>D16*E16</f>
        <v>0</v>
      </c>
    </row>
    <row r="17" spans="2:7" x14ac:dyDescent="0.3">
      <c r="B17" s="124" t="s">
        <v>126</v>
      </c>
      <c r="C17" s="124" t="s">
        <v>125</v>
      </c>
      <c r="D17" s="155"/>
      <c r="E17" s="286">
        <v>1059</v>
      </c>
      <c r="F17" s="130">
        <f>D17*E17</f>
        <v>0</v>
      </c>
    </row>
    <row r="18" spans="2:7" ht="27.65" customHeight="1" x14ac:dyDescent="0.3">
      <c r="B18" s="124" t="s">
        <v>202</v>
      </c>
      <c r="C18" s="124" t="s">
        <v>122</v>
      </c>
      <c r="D18" s="155"/>
      <c r="E18" s="286">
        <v>2859</v>
      </c>
      <c r="F18" s="130">
        <f>D18*E18</f>
        <v>0</v>
      </c>
      <c r="G18" s="1" t="s">
        <v>231</v>
      </c>
    </row>
    <row r="19" spans="2:7" ht="31" customHeight="1" x14ac:dyDescent="0.3">
      <c r="B19" s="124" t="s">
        <v>203</v>
      </c>
      <c r="C19" s="124" t="s">
        <v>122</v>
      </c>
      <c r="D19" s="155"/>
      <c r="E19" s="288" t="s">
        <v>118</v>
      </c>
      <c r="F19" s="130"/>
    </row>
    <row r="20" spans="2:7" x14ac:dyDescent="0.3">
      <c r="B20" s="269" t="s">
        <v>382</v>
      </c>
    </row>
    <row r="21" spans="2:7" x14ac:dyDescent="0.3">
      <c r="B21" s="268"/>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6">
        <v>474</v>
      </c>
      <c r="F24" s="121">
        <f>D24*E24</f>
        <v>0</v>
      </c>
    </row>
    <row r="25" spans="2:7" x14ac:dyDescent="0.3">
      <c r="B25" s="169" t="s">
        <v>371</v>
      </c>
      <c r="C25" s="169" t="s">
        <v>12</v>
      </c>
      <c r="D25" s="154"/>
      <c r="E25" s="286">
        <v>122</v>
      </c>
      <c r="F25" s="121">
        <f>D25*E25</f>
        <v>0</v>
      </c>
    </row>
    <row r="26" spans="2:7" x14ac:dyDescent="0.3">
      <c r="B26" s="345"/>
      <c r="C26" s="346"/>
      <c r="D26" s="346"/>
      <c r="E26" s="346"/>
      <c r="F26" s="346"/>
    </row>
    <row r="27" spans="2:7" x14ac:dyDescent="0.3">
      <c r="B27" s="347"/>
      <c r="C27" s="347"/>
      <c r="D27" s="347"/>
      <c r="E27" s="347"/>
      <c r="F27" s="347"/>
    </row>
  </sheetData>
  <sheetProtection algorithmName="SHA-512" hashValue="S0NcCpszbECh5vROTQ5ygDXbfWMBK+lKEEoZu7FRZrmktF/ZqJ3ztS31Lfle+V/D3dQVZYw44FCuGKcQ64wXgg==" saltValue="625Ul1WF+lJIxNGi8JrLDg=="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23">
        <f>SUM(F:F)</f>
        <v>0</v>
      </c>
      <c r="F1" s="323"/>
      <c r="H1" s="107" t="s">
        <v>59</v>
      </c>
      <c r="I1" s="107"/>
      <c r="J1" s="107"/>
      <c r="K1" s="323">
        <f>SUM(L:L)</f>
        <v>0</v>
      </c>
      <c r="L1" s="323"/>
      <c r="M1" s="3" t="s">
        <v>166</v>
      </c>
    </row>
    <row r="2" spans="2:13" ht="28.5" customHeight="1" x14ac:dyDescent="0.3">
      <c r="D2" s="109"/>
      <c r="E2" s="324" t="s">
        <v>76</v>
      </c>
      <c r="F2" s="324"/>
      <c r="H2" s="344" t="s">
        <v>216</v>
      </c>
      <c r="I2" s="343"/>
      <c r="J2" s="343"/>
      <c r="K2" s="324" t="s">
        <v>76</v>
      </c>
      <c r="L2" s="324"/>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5" t="s">
        <v>197</v>
      </c>
      <c r="I5" s="336"/>
      <c r="J5" s="336"/>
      <c r="K5" s="336"/>
      <c r="L5" s="337"/>
    </row>
    <row r="6" spans="2:13" ht="25" x14ac:dyDescent="0.3">
      <c r="B6" s="177" t="s">
        <v>195</v>
      </c>
      <c r="C6" s="166" t="s">
        <v>104</v>
      </c>
      <c r="D6" s="154"/>
      <c r="E6" s="288">
        <v>351</v>
      </c>
      <c r="F6" s="121">
        <f>D6*E6</f>
        <v>0</v>
      </c>
      <c r="H6" s="181" t="s">
        <v>115</v>
      </c>
      <c r="I6" s="338" t="s">
        <v>13</v>
      </c>
      <c r="J6" s="154"/>
      <c r="K6" s="286">
        <v>2005</v>
      </c>
      <c r="L6" s="121">
        <f>J6*K6</f>
        <v>0</v>
      </c>
    </row>
    <row r="7" spans="2:13" x14ac:dyDescent="0.3">
      <c r="B7" s="177" t="s">
        <v>196</v>
      </c>
      <c r="C7" s="166" t="s">
        <v>130</v>
      </c>
      <c r="D7" s="154"/>
      <c r="E7" s="288">
        <v>488</v>
      </c>
      <c r="F7" s="121">
        <f>D7*E7</f>
        <v>0</v>
      </c>
      <c r="H7" s="181" t="s">
        <v>198</v>
      </c>
      <c r="I7" s="339"/>
      <c r="J7" s="154"/>
      <c r="K7" s="286">
        <v>2215</v>
      </c>
      <c r="L7" s="121">
        <f t="shared" ref="L7:L8" si="0">J7*K7</f>
        <v>0</v>
      </c>
    </row>
    <row r="8" spans="2:13" x14ac:dyDescent="0.3">
      <c r="B8" s="352" t="s">
        <v>268</v>
      </c>
      <c r="C8" s="352" t="s">
        <v>215</v>
      </c>
      <c r="D8" s="138"/>
      <c r="E8" s="354" t="s">
        <v>184</v>
      </c>
      <c r="F8" s="348">
        <f>IF(D8=0,0,MAX(D8*0.1,IF(OR(D9="Minor",D9="Please choose"),500,IF(D9="Major",5000,0))))</f>
        <v>0</v>
      </c>
      <c r="H8" s="181" t="s">
        <v>199</v>
      </c>
      <c r="I8" s="340"/>
      <c r="J8" s="154"/>
      <c r="K8" s="286">
        <v>2379</v>
      </c>
      <c r="L8" s="121">
        <f t="shared" si="0"/>
        <v>0</v>
      </c>
    </row>
    <row r="9" spans="2:13" ht="50.5" customHeight="1" x14ac:dyDescent="0.3">
      <c r="B9" s="353"/>
      <c r="C9" s="353"/>
      <c r="D9" s="170" t="s">
        <v>166</v>
      </c>
      <c r="E9" s="355"/>
      <c r="F9" s="349"/>
      <c r="H9" s="335" t="s">
        <v>233</v>
      </c>
      <c r="I9" s="336"/>
      <c r="J9" s="336"/>
      <c r="K9" s="336"/>
      <c r="L9" s="337"/>
    </row>
    <row r="10" spans="2:13" ht="26.5" customHeight="1" x14ac:dyDescent="0.3">
      <c r="B10" s="177" t="s">
        <v>128</v>
      </c>
      <c r="C10" s="166" t="s">
        <v>129</v>
      </c>
      <c r="D10" s="154"/>
      <c r="E10" s="288">
        <v>2000</v>
      </c>
      <c r="F10" s="121">
        <f>D10*E10</f>
        <v>0</v>
      </c>
      <c r="H10" s="181" t="s">
        <v>115</v>
      </c>
      <c r="I10" s="338" t="s">
        <v>13</v>
      </c>
      <c r="J10" s="154"/>
      <c r="K10" s="286">
        <v>2119</v>
      </c>
      <c r="L10" s="121">
        <f>J10*K10</f>
        <v>0</v>
      </c>
    </row>
    <row r="11" spans="2:13" ht="26.15" customHeight="1" x14ac:dyDescent="0.3">
      <c r="B11" s="177" t="s">
        <v>217</v>
      </c>
      <c r="C11" s="166" t="s">
        <v>204</v>
      </c>
      <c r="D11" s="154"/>
      <c r="E11" s="291">
        <v>1450</v>
      </c>
      <c r="F11" s="121">
        <f t="shared" ref="F11:F12" si="1">D11*E11</f>
        <v>0</v>
      </c>
      <c r="H11" s="181" t="s">
        <v>198</v>
      </c>
      <c r="I11" s="339"/>
      <c r="J11" s="154"/>
      <c r="K11" s="286">
        <v>2350</v>
      </c>
      <c r="L11" s="121">
        <f t="shared" ref="L11:L12" si="2">J11*K11</f>
        <v>0</v>
      </c>
    </row>
    <row r="12" spans="2:13" ht="20.5" customHeight="1" x14ac:dyDescent="0.3">
      <c r="B12" s="177" t="s">
        <v>126</v>
      </c>
      <c r="C12" s="166" t="s">
        <v>125</v>
      </c>
      <c r="D12" s="154"/>
      <c r="E12" s="291">
        <v>1059</v>
      </c>
      <c r="F12" s="121">
        <f t="shared" si="1"/>
        <v>0</v>
      </c>
      <c r="H12" s="181" t="s">
        <v>199</v>
      </c>
      <c r="I12" s="340"/>
      <c r="J12" s="154"/>
      <c r="K12" s="286">
        <v>2518</v>
      </c>
      <c r="L12" s="121">
        <f t="shared" si="2"/>
        <v>0</v>
      </c>
    </row>
    <row r="13" spans="2:13" ht="50" x14ac:dyDescent="0.3">
      <c r="B13" s="177" t="s">
        <v>218</v>
      </c>
      <c r="C13" s="166" t="s">
        <v>122</v>
      </c>
      <c r="D13" s="154"/>
      <c r="E13" s="291">
        <v>2859</v>
      </c>
      <c r="F13" s="121">
        <f>D13*E13</f>
        <v>0</v>
      </c>
      <c r="G13" s="1" t="s">
        <v>231</v>
      </c>
      <c r="H13" s="335" t="s">
        <v>234</v>
      </c>
      <c r="I13" s="336"/>
      <c r="J13" s="336"/>
      <c r="K13" s="336"/>
      <c r="L13" s="337"/>
    </row>
    <row r="14" spans="2:13" ht="62.5" x14ac:dyDescent="0.3">
      <c r="B14" s="177" t="s">
        <v>219</v>
      </c>
      <c r="C14" s="166" t="s">
        <v>122</v>
      </c>
      <c r="D14" s="154"/>
      <c r="E14" s="291" t="s">
        <v>118</v>
      </c>
      <c r="F14" s="121"/>
      <c r="H14" s="181" t="s">
        <v>115</v>
      </c>
      <c r="I14" s="338" t="s">
        <v>13</v>
      </c>
      <c r="J14" s="154"/>
      <c r="K14" s="286">
        <v>1329</v>
      </c>
      <c r="L14" s="121">
        <f>J14*K14</f>
        <v>0</v>
      </c>
    </row>
    <row r="15" spans="2:13" ht="21.65" customHeight="1" x14ac:dyDescent="0.3">
      <c r="B15" s="350" t="s">
        <v>382</v>
      </c>
      <c r="C15" s="351"/>
      <c r="D15" s="351"/>
      <c r="E15" s="351"/>
      <c r="F15" s="351"/>
      <c r="H15" s="181" t="s">
        <v>198</v>
      </c>
      <c r="I15" s="339"/>
      <c r="J15" s="154"/>
      <c r="K15" s="286">
        <v>1399</v>
      </c>
      <c r="L15" s="121">
        <f t="shared" ref="L15:L16" si="3">J15*K15</f>
        <v>0</v>
      </c>
    </row>
    <row r="16" spans="2:13" ht="21" customHeight="1" x14ac:dyDescent="0.3">
      <c r="B16" s="341" t="s">
        <v>377</v>
      </c>
      <c r="C16" s="343"/>
      <c r="D16" s="343"/>
      <c r="E16" s="343"/>
      <c r="F16" s="343"/>
      <c r="H16" s="181" t="s">
        <v>199</v>
      </c>
      <c r="I16" s="340"/>
      <c r="J16" s="154"/>
      <c r="K16" s="286">
        <v>1617</v>
      </c>
      <c r="L16" s="121">
        <f t="shared" si="3"/>
        <v>0</v>
      </c>
    </row>
    <row r="17" spans="2:12" ht="28" customHeight="1" x14ac:dyDescent="0.3">
      <c r="B17" s="343"/>
      <c r="C17" s="343"/>
      <c r="D17" s="343"/>
      <c r="E17" s="343"/>
      <c r="F17" s="343"/>
      <c r="H17" s="175" t="s">
        <v>200</v>
      </c>
      <c r="I17" s="166" t="s">
        <v>116</v>
      </c>
      <c r="J17" s="172"/>
      <c r="K17" s="288" t="s">
        <v>118</v>
      </c>
      <c r="L17" s="121"/>
    </row>
    <row r="18" spans="2:12" x14ac:dyDescent="0.3">
      <c r="B18" s="343"/>
      <c r="C18" s="343"/>
      <c r="D18" s="343"/>
      <c r="E18" s="343"/>
      <c r="F18" s="343"/>
      <c r="I18" s="3"/>
      <c r="J18" s="3"/>
    </row>
    <row r="19" spans="2:12" x14ac:dyDescent="0.3">
      <c r="B19" s="343"/>
      <c r="C19" s="343"/>
      <c r="D19" s="343"/>
      <c r="E19" s="343"/>
      <c r="F19" s="343"/>
      <c r="H19" s="184" t="s">
        <v>226</v>
      </c>
      <c r="I19" s="164" t="s">
        <v>227</v>
      </c>
      <c r="J19" s="172">
        <v>1</v>
      </c>
      <c r="K19" s="185"/>
      <c r="L19" s="121">
        <f>J19*K19</f>
        <v>0</v>
      </c>
    </row>
    <row r="20" spans="2:12" x14ac:dyDescent="0.3">
      <c r="B20" s="343"/>
      <c r="C20" s="343"/>
      <c r="D20" s="343"/>
      <c r="E20" s="343"/>
      <c r="F20" s="343"/>
    </row>
    <row r="21" spans="2:12" x14ac:dyDescent="0.3">
      <c r="B21" s="343"/>
      <c r="C21" s="343"/>
      <c r="D21" s="343"/>
      <c r="E21" s="343"/>
      <c r="F21" s="343"/>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x14ac:dyDescent="0.3">
      <c r="B40" s="343"/>
      <c r="C40" s="343"/>
      <c r="D40" s="343"/>
      <c r="E40" s="343"/>
      <c r="F40" s="343"/>
    </row>
    <row r="41" spans="2:6" x14ac:dyDescent="0.3">
      <c r="B41" s="343"/>
      <c r="C41" s="343"/>
      <c r="D41" s="343"/>
      <c r="E41" s="343"/>
      <c r="F41" s="343"/>
    </row>
    <row r="42" spans="2:6" x14ac:dyDescent="0.3">
      <c r="B42" s="343"/>
      <c r="C42" s="343"/>
      <c r="D42" s="343"/>
      <c r="E42" s="343"/>
      <c r="F42" s="343"/>
    </row>
    <row r="43" spans="2:6" x14ac:dyDescent="0.3">
      <c r="B43" s="343"/>
      <c r="C43" s="343"/>
      <c r="D43" s="343"/>
      <c r="E43" s="343"/>
      <c r="F43" s="343"/>
    </row>
    <row r="44" spans="2:6" x14ac:dyDescent="0.3">
      <c r="B44" s="343"/>
      <c r="C44" s="343"/>
      <c r="D44" s="343"/>
      <c r="E44" s="343"/>
      <c r="F44" s="343"/>
    </row>
    <row r="45" spans="2:6" x14ac:dyDescent="0.3">
      <c r="B45" s="343"/>
      <c r="C45" s="343"/>
      <c r="D45" s="343"/>
      <c r="E45" s="343"/>
      <c r="F45" s="343"/>
    </row>
    <row r="46" spans="2:6" x14ac:dyDescent="0.3">
      <c r="B46" s="343"/>
      <c r="C46" s="343"/>
      <c r="D46" s="343"/>
      <c r="E46" s="343"/>
      <c r="F46" s="343"/>
    </row>
    <row r="47" spans="2:6" x14ac:dyDescent="0.3">
      <c r="B47" s="343"/>
      <c r="C47" s="343"/>
      <c r="D47" s="343"/>
      <c r="E47" s="343"/>
      <c r="F47" s="343"/>
    </row>
    <row r="48" spans="2:6" x14ac:dyDescent="0.3">
      <c r="B48" s="343"/>
      <c r="C48" s="343"/>
      <c r="D48" s="343"/>
      <c r="E48" s="343"/>
      <c r="F48" s="343"/>
    </row>
    <row r="49" spans="2:6" x14ac:dyDescent="0.3">
      <c r="B49" s="343"/>
      <c r="C49" s="343"/>
      <c r="D49" s="343"/>
      <c r="E49" s="343"/>
      <c r="F49" s="343"/>
    </row>
    <row r="50" spans="2:6" x14ac:dyDescent="0.3">
      <c r="B50" s="343"/>
      <c r="C50" s="343"/>
      <c r="D50" s="343"/>
      <c r="E50" s="343"/>
      <c r="F50" s="343"/>
    </row>
    <row r="51" spans="2:6" x14ac:dyDescent="0.3">
      <c r="B51" s="343"/>
      <c r="C51" s="343"/>
      <c r="D51" s="343"/>
      <c r="E51" s="343"/>
      <c r="F51" s="343"/>
    </row>
    <row r="52" spans="2:6" x14ac:dyDescent="0.3">
      <c r="B52" s="199"/>
      <c r="C52" s="199"/>
      <c r="D52" s="199"/>
      <c r="E52" s="199"/>
      <c r="F52" s="183"/>
    </row>
  </sheetData>
  <sheetProtection algorithmName="SHA-512" hashValue="Z24TqZk53l6ZtUvSZECmZApRr7ZUISKvBhV7jWq46qw7nHsTKOTeGKTqgxXFZfcdz+0KH7bboLMiEWt29pfghw==" saltValue="jq+c8ZgB5seHzXksqcm2NA==" spinCount="100000" sheet="1" formatColumns="0" formatRows="0"/>
  <mergeCells count="17">
    <mergeCell ref="F8:F9"/>
    <mergeCell ref="E2:F2"/>
    <mergeCell ref="B15:F15"/>
    <mergeCell ref="I14:I16"/>
    <mergeCell ref="E1:F1"/>
    <mergeCell ref="B16:F51"/>
    <mergeCell ref="B8:B9"/>
    <mergeCell ref="C8:C9"/>
    <mergeCell ref="E8:E9"/>
    <mergeCell ref="K1:L1"/>
    <mergeCell ref="H5:L5"/>
    <mergeCell ref="H13:L13"/>
    <mergeCell ref="H9:L9"/>
    <mergeCell ref="I6:I8"/>
    <mergeCell ref="I10:I12"/>
    <mergeCell ref="H2:J2"/>
    <mergeCell ref="K2:L2"/>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23">
        <f>SUM(F:F)</f>
        <v>12600</v>
      </c>
      <c r="F1" s="323"/>
      <c r="H1" s="107" t="s">
        <v>173</v>
      </c>
      <c r="I1" s="108"/>
      <c r="J1" s="108"/>
      <c r="K1" s="108"/>
      <c r="L1" s="108"/>
      <c r="M1" s="127"/>
      <c r="O1" s="275"/>
      <c r="P1" s="276"/>
      <c r="Q1" s="356"/>
      <c r="R1" s="356"/>
    </row>
    <row r="2" spans="2:18" x14ac:dyDescent="0.3">
      <c r="D2" s="109"/>
      <c r="E2" s="324" t="s">
        <v>76</v>
      </c>
      <c r="F2" s="324"/>
      <c r="L2" s="324" t="s">
        <v>76</v>
      </c>
      <c r="M2" s="324"/>
      <c r="O2" s="173"/>
      <c r="P2" s="277"/>
      <c r="Q2" s="324"/>
      <c r="R2" s="324"/>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8"/>
      <c r="P4" s="278"/>
      <c r="Q4" s="278"/>
      <c r="R4" s="279"/>
    </row>
    <row r="5" spans="2:18" ht="49.5" customHeight="1" x14ac:dyDescent="0.3">
      <c r="B5" s="118" t="s">
        <v>132</v>
      </c>
      <c r="C5" s="118" t="s">
        <v>133</v>
      </c>
      <c r="D5" s="154"/>
      <c r="E5" s="299" t="s">
        <v>406</v>
      </c>
      <c r="F5" s="130" t="str">
        <f>IFERROR(D5*E5,"")</f>
        <v/>
      </c>
      <c r="H5" s="118" t="s">
        <v>142</v>
      </c>
      <c r="I5" s="154"/>
      <c r="J5" s="154"/>
      <c r="K5" s="119">
        <f>J5-I5</f>
        <v>0</v>
      </c>
      <c r="L5" s="119">
        <v>2</v>
      </c>
      <c r="M5" s="119">
        <f>K5*L5</f>
        <v>0</v>
      </c>
      <c r="O5" s="280"/>
      <c r="P5" s="281"/>
      <c r="Q5" s="282"/>
      <c r="R5" s="182"/>
    </row>
    <row r="6" spans="2:18" ht="27.65" customHeight="1" x14ac:dyDescent="0.3">
      <c r="B6" s="118" t="s">
        <v>188</v>
      </c>
      <c r="C6" s="118" t="s">
        <v>383</v>
      </c>
      <c r="D6" s="154">
        <v>50</v>
      </c>
      <c r="E6" s="120">
        <v>252</v>
      </c>
      <c r="F6" s="121">
        <f>D6*E6</f>
        <v>12600</v>
      </c>
      <c r="H6" s="118" t="s">
        <v>143</v>
      </c>
      <c r="I6" s="154"/>
      <c r="J6" s="154"/>
      <c r="K6" s="119">
        <f t="shared" ref="K6:K19" si="0">J6-I6</f>
        <v>0</v>
      </c>
      <c r="L6" s="119">
        <v>3</v>
      </c>
      <c r="M6" s="119">
        <f t="shared" ref="M6:M19" si="1">K6*L6</f>
        <v>0</v>
      </c>
      <c r="O6" s="280"/>
      <c r="P6" s="281"/>
      <c r="Q6" s="282"/>
      <c r="R6" s="182"/>
    </row>
    <row r="7" spans="2:18" ht="75" x14ac:dyDescent="0.3">
      <c r="B7" s="118" t="s">
        <v>135</v>
      </c>
      <c r="C7" s="118" t="s">
        <v>399</v>
      </c>
      <c r="D7" s="297">
        <f>$M$21</f>
        <v>0</v>
      </c>
      <c r="E7" s="125" t="s">
        <v>406</v>
      </c>
      <c r="F7" s="130" t="str">
        <f>IFERROR(D7*E7,"")</f>
        <v/>
      </c>
      <c r="G7" s="202"/>
      <c r="H7" s="118" t="s">
        <v>144</v>
      </c>
      <c r="I7" s="154"/>
      <c r="J7" s="154"/>
      <c r="K7" s="119">
        <f t="shared" si="0"/>
        <v>0</v>
      </c>
      <c r="L7" s="119">
        <v>1.5</v>
      </c>
      <c r="M7" s="119">
        <f t="shared" si="1"/>
        <v>0</v>
      </c>
    </row>
    <row r="8" spans="2:18" ht="58" customHeight="1" x14ac:dyDescent="0.3">
      <c r="B8" s="118" t="s">
        <v>400</v>
      </c>
      <c r="C8" s="118" t="s">
        <v>388</v>
      </c>
      <c r="D8" s="129">
        <v>50</v>
      </c>
      <c r="E8" s="292">
        <v>-100</v>
      </c>
      <c r="F8" s="121">
        <f>D8*E8</f>
        <v>-5000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3" t="s">
        <v>406</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v>50</v>
      </c>
      <c r="E14" s="120">
        <v>502</v>
      </c>
      <c r="F14" s="121">
        <f>D14*E14</f>
        <v>25100</v>
      </c>
      <c r="G14" s="202"/>
      <c r="H14" s="118" t="s">
        <v>151</v>
      </c>
      <c r="I14" s="154"/>
      <c r="J14" s="154"/>
      <c r="K14" s="119">
        <f t="shared" si="0"/>
        <v>0</v>
      </c>
      <c r="L14" s="119">
        <v>0.5</v>
      </c>
      <c r="M14" s="119">
        <f t="shared" si="1"/>
        <v>0</v>
      </c>
    </row>
    <row r="15" spans="2:18" ht="62.5" x14ac:dyDescent="0.3">
      <c r="B15" s="118" t="s">
        <v>138</v>
      </c>
      <c r="C15" s="118" t="s">
        <v>389</v>
      </c>
      <c r="D15" s="297">
        <f>$M$21</f>
        <v>0</v>
      </c>
      <c r="E15" s="295" t="s">
        <v>406</v>
      </c>
      <c r="F15" s="130" t="str">
        <f>IFERROR(D15*E15,"")</f>
        <v/>
      </c>
      <c r="G15" s="202"/>
      <c r="H15" s="118" t="s">
        <v>152</v>
      </c>
      <c r="I15" s="154"/>
      <c r="J15" s="154"/>
      <c r="K15" s="119">
        <f t="shared" si="0"/>
        <v>0</v>
      </c>
      <c r="L15" s="119">
        <v>1.5</v>
      </c>
      <c r="M15" s="119">
        <f t="shared" si="1"/>
        <v>0</v>
      </c>
    </row>
    <row r="16" spans="2:18" ht="27.65" customHeight="1" x14ac:dyDescent="0.3">
      <c r="B16" s="118" t="s">
        <v>390</v>
      </c>
      <c r="C16" s="118" t="s">
        <v>134</v>
      </c>
      <c r="D16" s="296">
        <v>50</v>
      </c>
      <c r="E16" s="293">
        <v>-402</v>
      </c>
      <c r="F16" s="121">
        <f>D16*E16</f>
        <v>-20100</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V5gQ3O9CEfWYv3TNNLnrmZ+mMg48Jn9OXBNHaX6VcZDUgn5vMX5HFuQ0JikjJD6gvPyrnYphjqzGludH9fL9Uw==" saltValue="uUOpduaKe60Jgopu/lnMzQ=="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5"/>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10.25" style="3" customWidth="1"/>
    <col min="9" max="16384" width="8.58203125" style="3"/>
  </cols>
  <sheetData>
    <row r="1" spans="2:7" ht="23" x14ac:dyDescent="0.5">
      <c r="B1" s="107" t="s">
        <v>75</v>
      </c>
      <c r="C1" s="108"/>
      <c r="D1" s="108"/>
      <c r="E1" s="323">
        <f>SUM(F:F)</f>
        <v>2102</v>
      </c>
      <c r="F1" s="323"/>
    </row>
    <row r="2" spans="2:7" x14ac:dyDescent="0.3">
      <c r="D2" s="109"/>
      <c r="E2" s="324" t="s">
        <v>76</v>
      </c>
      <c r="F2" s="324"/>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396</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8" t="s">
        <v>401</v>
      </c>
      <c r="F13" s="121">
        <f>D13*76</f>
        <v>0</v>
      </c>
    </row>
    <row r="14" spans="2:7" x14ac:dyDescent="0.3">
      <c r="B14" s="124" t="s">
        <v>159</v>
      </c>
      <c r="C14" s="124" t="s">
        <v>158</v>
      </c>
      <c r="D14" s="154"/>
      <c r="E14" s="288">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8" x14ac:dyDescent="0.3">
      <c r="B17" s="118" t="s">
        <v>164</v>
      </c>
      <c r="C17" s="118" t="s">
        <v>165</v>
      </c>
      <c r="D17" s="154"/>
      <c r="E17" s="294">
        <v>1289</v>
      </c>
      <c r="F17" s="121">
        <f>D17*E17</f>
        <v>0</v>
      </c>
    </row>
    <row r="19" spans="2:8" x14ac:dyDescent="0.3">
      <c r="B19" s="122" t="s">
        <v>282</v>
      </c>
      <c r="C19" s="111"/>
      <c r="F19" s="246"/>
    </row>
    <row r="20" spans="2:8" x14ac:dyDescent="0.3">
      <c r="B20" s="114" t="s">
        <v>1</v>
      </c>
      <c r="C20" s="114" t="s">
        <v>2</v>
      </c>
      <c r="D20" s="114" t="s">
        <v>19</v>
      </c>
      <c r="E20" s="114" t="s">
        <v>3</v>
      </c>
      <c r="F20" s="115" t="s">
        <v>20</v>
      </c>
    </row>
    <row r="21" spans="2:8" ht="87.5" x14ac:dyDescent="0.3">
      <c r="B21" s="171" t="s">
        <v>391</v>
      </c>
      <c r="C21" s="171" t="s">
        <v>283</v>
      </c>
      <c r="D21" s="154">
        <v>1</v>
      </c>
      <c r="E21" s="120">
        <v>1124</v>
      </c>
      <c r="F21" s="121">
        <f>D21*E21</f>
        <v>1124</v>
      </c>
      <c r="H21" s="303" t="s">
        <v>428</v>
      </c>
    </row>
    <row r="22" spans="2:8" x14ac:dyDescent="0.3">
      <c r="B22" s="171" t="s">
        <v>284</v>
      </c>
      <c r="C22" s="171" t="s">
        <v>285</v>
      </c>
      <c r="D22" s="154">
        <v>1</v>
      </c>
      <c r="E22" s="288">
        <v>792</v>
      </c>
      <c r="F22" s="121">
        <f>D22*E22</f>
        <v>792</v>
      </c>
    </row>
    <row r="23" spans="2:8" x14ac:dyDescent="0.3">
      <c r="B23" s="171" t="s">
        <v>373</v>
      </c>
      <c r="C23" s="171" t="s">
        <v>286</v>
      </c>
      <c r="D23" s="154"/>
      <c r="E23" s="288">
        <v>301</v>
      </c>
      <c r="F23" s="121">
        <f>D23*E23</f>
        <v>0</v>
      </c>
    </row>
    <row r="24" spans="2:8" ht="87.5" x14ac:dyDescent="0.3">
      <c r="B24" s="273" t="s">
        <v>378</v>
      </c>
      <c r="C24" s="273" t="s">
        <v>283</v>
      </c>
      <c r="D24" s="274"/>
      <c r="E24" s="120">
        <f>_xlfn.IFNA(INDEX('Permits &amp; TTRO workings'!A1:H14,MATCH(Other!$F$19,'Permits &amp; TTRO workings'!A1:A14,0),MATCH(_xlfn.CONCAT(#REF!,#REF!),'Permits &amp; TTRO workings'!A1:H1,0)),0)</f>
        <v>0</v>
      </c>
      <c r="F24" s="121">
        <f>D24*E24</f>
        <v>0</v>
      </c>
      <c r="G24" s="202"/>
    </row>
    <row r="25" spans="2:8" x14ac:dyDescent="0.3">
      <c r="B25" s="171" t="s">
        <v>287</v>
      </c>
      <c r="C25" s="171" t="s">
        <v>288</v>
      </c>
      <c r="D25" s="154"/>
      <c r="E25" s="288">
        <f>IF($F$19="BANES",446,IF($F$19="Wiltshire",756,703))</f>
        <v>703</v>
      </c>
      <c r="F25" s="121">
        <f t="shared" ref="F25:F32" si="0">D25*E25</f>
        <v>0</v>
      </c>
    </row>
    <row r="26" spans="2:8" x14ac:dyDescent="0.3">
      <c r="B26" s="171" t="s">
        <v>289</v>
      </c>
      <c r="C26" s="171" t="s">
        <v>290</v>
      </c>
      <c r="D26" s="154"/>
      <c r="E26" s="288">
        <f>IF($F$19="BANES",446,IF($F$19="Wiltshire",756,1037))</f>
        <v>1037</v>
      </c>
      <c r="F26" s="121">
        <f t="shared" si="0"/>
        <v>0</v>
      </c>
    </row>
    <row r="27" spans="2:8" x14ac:dyDescent="0.3">
      <c r="B27" s="171" t="s">
        <v>291</v>
      </c>
      <c r="C27" s="171" t="s">
        <v>290</v>
      </c>
      <c r="D27" s="154"/>
      <c r="E27" s="288">
        <v>313</v>
      </c>
      <c r="F27" s="121">
        <f t="shared" si="0"/>
        <v>0</v>
      </c>
    </row>
    <row r="28" spans="2:8" x14ac:dyDescent="0.3">
      <c r="B28" s="171" t="s">
        <v>392</v>
      </c>
      <c r="C28" s="171" t="s">
        <v>290</v>
      </c>
      <c r="D28" s="154"/>
      <c r="E28" s="288">
        <v>788</v>
      </c>
      <c r="F28" s="121">
        <f t="shared" ref="F28:F29" si="1">D28*E28</f>
        <v>0</v>
      </c>
      <c r="G28" s="202"/>
    </row>
    <row r="29" spans="2:8" x14ac:dyDescent="0.3">
      <c r="B29" s="171" t="s">
        <v>393</v>
      </c>
      <c r="C29" s="171" t="s">
        <v>290</v>
      </c>
      <c r="D29" s="154"/>
      <c r="E29" s="288">
        <v>827</v>
      </c>
      <c r="F29" s="121">
        <f t="shared" si="1"/>
        <v>0</v>
      </c>
      <c r="G29" s="202"/>
    </row>
    <row r="30" spans="2:8" x14ac:dyDescent="0.3">
      <c r="B30" s="118" t="s">
        <v>292</v>
      </c>
      <c r="C30" s="118" t="s">
        <v>290</v>
      </c>
      <c r="D30" s="154">
        <v>1</v>
      </c>
      <c r="E30" s="120">
        <v>186</v>
      </c>
      <c r="F30" s="121">
        <f t="shared" si="0"/>
        <v>186</v>
      </c>
    </row>
    <row r="31" spans="2:8" x14ac:dyDescent="0.3">
      <c r="B31" s="118" t="s">
        <v>293</v>
      </c>
      <c r="C31" s="118" t="s">
        <v>290</v>
      </c>
      <c r="D31" s="154"/>
      <c r="E31" s="120">
        <v>834</v>
      </c>
      <c r="F31" s="121">
        <f t="shared" si="0"/>
        <v>0</v>
      </c>
    </row>
    <row r="32" spans="2:8" x14ac:dyDescent="0.3">
      <c r="B32" s="118" t="s">
        <v>379</v>
      </c>
      <c r="C32" s="118" t="s">
        <v>294</v>
      </c>
      <c r="D32" s="154"/>
      <c r="E32" s="294">
        <v>593</v>
      </c>
      <c r="F32" s="121">
        <f t="shared" si="0"/>
        <v>0</v>
      </c>
    </row>
    <row r="33" spans="2:6" ht="20.149999999999999" customHeight="1" x14ac:dyDescent="0.3">
      <c r="B33" s="358" t="s">
        <v>372</v>
      </c>
      <c r="C33" s="358"/>
      <c r="D33" s="358"/>
      <c r="E33" s="358"/>
      <c r="F33" s="358"/>
    </row>
    <row r="34" spans="2:6" ht="17.149999999999999" customHeight="1" x14ac:dyDescent="0.3">
      <c r="B34" s="357" t="s">
        <v>381</v>
      </c>
      <c r="C34" s="357"/>
      <c r="D34" s="357"/>
      <c r="E34" s="357"/>
      <c r="F34" s="357"/>
    </row>
    <row r="35" spans="2:6" ht="54" customHeight="1" x14ac:dyDescent="0.3">
      <c r="B35" s="344" t="s">
        <v>380</v>
      </c>
      <c r="C35" s="322"/>
      <c r="D35" s="322"/>
      <c r="E35" s="322"/>
      <c r="F35" s="322"/>
    </row>
  </sheetData>
  <sheetProtection algorithmName="SHA-512" hashValue="bh1tX8iUQGdv9xUPVNC555zU+6Ri89N/haTqJkCLNJok87siD0tYLwaJCgtdQ5ZmnBrQv/K6aAto1JFe74xlKw==" saltValue="RBbVhzWRLuJvNxk/KcSatw==" spinCount="100000" sheet="1" formatColumns="0" formatRows="0"/>
  <mergeCells count="5">
    <mergeCell ref="B34:F34"/>
    <mergeCell ref="E2:F2"/>
    <mergeCell ref="E1:F1"/>
    <mergeCell ref="B33:F33"/>
    <mergeCell ref="B35:F35"/>
  </mergeCells>
  <conditionalFormatting sqref="F19">
    <cfRule type="containsText" dxfId="0" priority="9" operator="containsText" text="Choose">
      <formula>NOT(ISERROR(SEARCH("Choose",F19)))</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9B6700CF-7DE3-408F-B339-5DDFBBB7FAE3}">
          <x14:formula1>
            <xm:f>Dropdowns!$D$1:$D$12</xm:f>
          </x14:formula1>
          <xm:sqref>F19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D20" sqref="D20"/>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355</v>
      </c>
      <c r="D2" t="s">
        <v>355</v>
      </c>
      <c r="E2" t="s">
        <v>331</v>
      </c>
      <c r="F2" t="s">
        <v>331</v>
      </c>
      <c r="G2" t="s">
        <v>354</v>
      </c>
      <c r="H2" t="s">
        <v>354</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353</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8">
        <f>INDEX(Permits!$11:$11,1,MATCH('Permits &amp; TTRO workings'!$B9,Permits!$3:$3,0))</f>
        <v>46</v>
      </c>
      <c r="D9" s="248" cm="1">
        <f t="array" ref="D9">INDEX(Permits!$11:$11,1,MATCH('Permits &amp; TTRO workings'!$B9,Permits!$3:$3,0)+2)</f>
        <v>32</v>
      </c>
      <c r="E9" s="248">
        <f>INDEX(Permits!$10:$10,1,MATCH('Permits &amp; TTRO workings'!$B9,Permits!$3:$3,0))</f>
        <v>91</v>
      </c>
      <c r="F9" s="248"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357</v>
      </c>
    </row>
    <row r="19" spans="1:10" x14ac:dyDescent="0.3">
      <c r="A19" t="s">
        <v>319</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356</v>
      </c>
    </row>
    <row r="20" spans="1:10" x14ac:dyDescent="0.3">
      <c r="A20" t="s">
        <v>320</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341</v>
      </c>
    </row>
    <row r="21" spans="1:10" x14ac:dyDescent="0.3">
      <c r="A21" t="s">
        <v>321</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342</v>
      </c>
    </row>
    <row r="22" spans="1:10" x14ac:dyDescent="0.3">
      <c r="A22" t="s">
        <v>322</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326</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327</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328</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329</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24" t="s">
        <v>342</v>
      </c>
    </row>
    <row r="32" spans="1:10" x14ac:dyDescent="0.3">
      <c r="A32" t="s">
        <v>319</v>
      </c>
      <c r="B32" s="247">
        <v>2110.6999999999998</v>
      </c>
    </row>
    <row r="33" spans="1:3" x14ac:dyDescent="0.3">
      <c r="A33" t="s">
        <v>320</v>
      </c>
      <c r="B33" s="247">
        <v>2177</v>
      </c>
    </row>
    <row r="34" spans="1:3" x14ac:dyDescent="0.3">
      <c r="A34" t="s">
        <v>321</v>
      </c>
      <c r="B34" s="247">
        <v>1380</v>
      </c>
    </row>
    <row r="35" spans="1:3" x14ac:dyDescent="0.3">
      <c r="A35" t="s">
        <v>322</v>
      </c>
      <c r="B35" s="247">
        <v>1250</v>
      </c>
    </row>
    <row r="36" spans="1:3" x14ac:dyDescent="0.3">
      <c r="A36" t="s">
        <v>323</v>
      </c>
      <c r="B36" s="247">
        <v>1525</v>
      </c>
      <c r="C36" t="s">
        <v>384</v>
      </c>
    </row>
    <row r="37" spans="1:3" x14ac:dyDescent="0.3">
      <c r="A37" t="s">
        <v>324</v>
      </c>
      <c r="B37" s="247">
        <v>1850</v>
      </c>
      <c r="C37" t="s">
        <v>367</v>
      </c>
    </row>
    <row r="38" spans="1:3" x14ac:dyDescent="0.3">
      <c r="A38" t="s">
        <v>325</v>
      </c>
      <c r="B38" s="247">
        <v>1410</v>
      </c>
      <c r="C38" t="s">
        <v>368</v>
      </c>
    </row>
    <row r="39" spans="1:3" x14ac:dyDescent="0.3">
      <c r="A39" t="s">
        <v>326</v>
      </c>
      <c r="B39" s="247">
        <v>1800</v>
      </c>
    </row>
    <row r="40" spans="1:3" x14ac:dyDescent="0.3">
      <c r="A40" t="s">
        <v>327</v>
      </c>
      <c r="B40" s="247">
        <v>1320</v>
      </c>
    </row>
    <row r="41" spans="1:3" x14ac:dyDescent="0.3">
      <c r="A41" t="s">
        <v>328</v>
      </c>
      <c r="B41" s="247">
        <v>500</v>
      </c>
    </row>
    <row r="42" spans="1:3" x14ac:dyDescent="0.3">
      <c r="A42" t="s">
        <v>329</v>
      </c>
      <c r="B42" s="247">
        <v>865</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B2" activePane="bottomRight" state="frozen"/>
      <selection pane="topRight" activeCell="B1" sqref="B1"/>
      <selection pane="bottomLeft" activeCell="A2" sqref="A2"/>
      <selection pane="bottomRight" activeCell="B3" sqref="B3:C3"/>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6" t="s">
        <v>296</v>
      </c>
      <c r="B1" s="366"/>
      <c r="C1" s="366"/>
      <c r="D1" s="366"/>
      <c r="E1" s="366"/>
      <c r="F1" s="366"/>
      <c r="G1" s="366"/>
      <c r="H1" s="366"/>
      <c r="I1" s="366"/>
      <c r="J1" s="366"/>
      <c r="K1" s="366"/>
      <c r="L1" s="366"/>
      <c r="M1" s="366"/>
      <c r="N1" s="366"/>
      <c r="O1" s="366"/>
      <c r="P1" s="366"/>
      <c r="Q1" s="366"/>
      <c r="R1" s="366"/>
      <c r="S1" s="366"/>
      <c r="T1" s="366"/>
      <c r="U1" s="366"/>
      <c r="V1" s="366"/>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63" t="s">
        <v>297</v>
      </c>
      <c r="C3" s="365"/>
      <c r="D3" s="363" t="s">
        <v>298</v>
      </c>
      <c r="E3" s="364"/>
      <c r="F3" s="364"/>
      <c r="G3" s="365"/>
      <c r="H3" s="363" t="s">
        <v>299</v>
      </c>
      <c r="I3" s="364"/>
      <c r="J3" s="364"/>
      <c r="K3" s="365"/>
      <c r="L3" s="367" t="s">
        <v>300</v>
      </c>
      <c r="M3" s="364"/>
      <c r="N3" s="364"/>
      <c r="O3" s="365"/>
      <c r="P3" s="363" t="s">
        <v>359</v>
      </c>
      <c r="Q3" s="364"/>
      <c r="R3" s="364"/>
      <c r="S3" s="365"/>
      <c r="T3" s="363" t="s">
        <v>360</v>
      </c>
      <c r="U3" s="364"/>
      <c r="V3" s="364"/>
      <c r="W3" s="365"/>
      <c r="X3" s="363" t="s">
        <v>361</v>
      </c>
      <c r="Y3" s="364"/>
      <c r="Z3" s="364"/>
      <c r="AA3" s="365"/>
      <c r="AB3" s="363" t="s">
        <v>301</v>
      </c>
      <c r="AC3" s="364"/>
      <c r="AD3" s="364"/>
      <c r="AE3" s="365"/>
      <c r="AF3" s="363" t="s">
        <v>302</v>
      </c>
      <c r="AG3" s="364"/>
      <c r="AH3" s="364"/>
      <c r="AI3" s="365"/>
      <c r="AJ3" s="363" t="s">
        <v>303</v>
      </c>
      <c r="AK3" s="364"/>
      <c r="AL3" s="364"/>
      <c r="AM3" s="365"/>
      <c r="AN3" s="363" t="s">
        <v>362</v>
      </c>
      <c r="AO3" s="364"/>
      <c r="AP3" s="364"/>
      <c r="AQ3" s="365"/>
      <c r="AR3" s="363" t="s">
        <v>304</v>
      </c>
      <c r="AS3" s="364"/>
      <c r="AT3" s="364"/>
      <c r="AU3" s="365"/>
    </row>
    <row r="4" spans="1:47" ht="28.5" customHeight="1" x14ac:dyDescent="0.3">
      <c r="A4" s="205"/>
      <c r="B4" s="270" t="s">
        <v>305</v>
      </c>
      <c r="C4" s="272" t="s">
        <v>306</v>
      </c>
      <c r="D4" s="359" t="s">
        <v>305</v>
      </c>
      <c r="E4" s="360"/>
      <c r="F4" s="361" t="s">
        <v>306</v>
      </c>
      <c r="G4" s="362"/>
      <c r="H4" s="359" t="s">
        <v>305</v>
      </c>
      <c r="I4" s="360"/>
      <c r="J4" s="361" t="s">
        <v>306</v>
      </c>
      <c r="K4" s="362"/>
      <c r="L4" s="359" t="s">
        <v>305</v>
      </c>
      <c r="M4" s="360"/>
      <c r="N4" s="361" t="s">
        <v>306</v>
      </c>
      <c r="O4" s="362"/>
      <c r="P4" s="359" t="s">
        <v>305</v>
      </c>
      <c r="Q4" s="360"/>
      <c r="R4" s="361" t="s">
        <v>306</v>
      </c>
      <c r="S4" s="362"/>
      <c r="T4" s="359" t="s">
        <v>305</v>
      </c>
      <c r="U4" s="360"/>
      <c r="V4" s="361" t="s">
        <v>306</v>
      </c>
      <c r="W4" s="362"/>
      <c r="X4" s="359" t="s">
        <v>305</v>
      </c>
      <c r="Y4" s="360"/>
      <c r="Z4" s="361" t="s">
        <v>306</v>
      </c>
      <c r="AA4" s="362"/>
      <c r="AB4" s="359" t="s">
        <v>305</v>
      </c>
      <c r="AC4" s="360"/>
      <c r="AD4" s="361" t="s">
        <v>306</v>
      </c>
      <c r="AE4" s="362"/>
      <c r="AF4" s="359" t="s">
        <v>305</v>
      </c>
      <c r="AG4" s="360"/>
      <c r="AH4" s="361" t="s">
        <v>306</v>
      </c>
      <c r="AI4" s="362"/>
      <c r="AJ4" s="359" t="s">
        <v>305</v>
      </c>
      <c r="AK4" s="360"/>
      <c r="AL4" s="361" t="s">
        <v>306</v>
      </c>
      <c r="AM4" s="362"/>
      <c r="AN4" s="359" t="s">
        <v>305</v>
      </c>
      <c r="AO4" s="360"/>
      <c r="AP4" s="361" t="s">
        <v>306</v>
      </c>
      <c r="AQ4" s="362"/>
      <c r="AR4" s="359" t="s">
        <v>305</v>
      </c>
      <c r="AS4" s="360"/>
      <c r="AT4" s="361" t="s">
        <v>306</v>
      </c>
      <c r="AU4" s="362"/>
    </row>
    <row r="5" spans="1:47" ht="28" x14ac:dyDescent="0.3">
      <c r="A5" s="207" t="s">
        <v>363</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59</v>
      </c>
      <c r="AM6" s="218">
        <f>AL6/$C6</f>
        <v>0.78666666666666663</v>
      </c>
      <c r="AN6" s="214">
        <v>105</v>
      </c>
      <c r="AO6" s="216">
        <f>AN6/$B6</f>
        <v>1</v>
      </c>
      <c r="AP6" s="217">
        <v>75</v>
      </c>
      <c r="AQ6" s="218">
        <f>AP6/$C6</f>
        <v>1</v>
      </c>
      <c r="AR6" s="214">
        <v>78</v>
      </c>
      <c r="AS6" s="216">
        <f>AR6/$B6</f>
        <v>0.74285714285714288</v>
      </c>
      <c r="AT6" s="217">
        <v>26</v>
      </c>
      <c r="AU6" s="218">
        <f>AT6/$C6</f>
        <v>0.34666666666666668</v>
      </c>
    </row>
    <row r="7" spans="1:47" x14ac:dyDescent="0.3">
      <c r="A7" s="213" t="s">
        <v>364</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150</v>
      </c>
      <c r="S7" s="218">
        <f t="shared" ref="S7:S13" si="7">R7/$C7</f>
        <v>1</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180</v>
      </c>
      <c r="AS7" s="216">
        <f t="shared" ref="AS7:AS13" si="20">AR7/$B7</f>
        <v>0.75</v>
      </c>
      <c r="AT7" s="217">
        <v>48</v>
      </c>
      <c r="AU7" s="218">
        <f t="shared" ref="AU7:AU13" si="21">AT7/$C7</f>
        <v>0.32</v>
      </c>
    </row>
    <row r="8" spans="1:47" x14ac:dyDescent="0.3">
      <c r="A8" s="213" t="s">
        <v>365</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98</v>
      </c>
      <c r="AS8" s="216">
        <f t="shared" si="20"/>
        <v>0.40833333333333333</v>
      </c>
      <c r="AT8" s="217">
        <v>30</v>
      </c>
      <c r="AU8" s="218">
        <f t="shared" si="21"/>
        <v>0.2</v>
      </c>
    </row>
    <row r="9" spans="1:47" x14ac:dyDescent="0.3">
      <c r="A9" s="213" t="s">
        <v>366</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48</v>
      </c>
      <c r="AS9" s="216">
        <f t="shared" si="20"/>
        <v>0.2</v>
      </c>
      <c r="AT9" s="217">
        <v>30</v>
      </c>
      <c r="AU9" s="218">
        <f t="shared" si="21"/>
        <v>0.2</v>
      </c>
    </row>
    <row r="10" spans="1:47" s="259" customFormat="1" x14ac:dyDescent="0.3">
      <c r="A10" s="253" t="s">
        <v>311</v>
      </c>
      <c r="B10" s="254">
        <v>130</v>
      </c>
      <c r="C10" s="255">
        <v>75</v>
      </c>
      <c r="D10" s="254">
        <v>130</v>
      </c>
      <c r="E10" s="256">
        <f t="shared" si="0"/>
        <v>1</v>
      </c>
      <c r="F10" s="257">
        <v>75</v>
      </c>
      <c r="G10" s="258">
        <f t="shared" si="1"/>
        <v>1</v>
      </c>
      <c r="H10" s="254">
        <v>60</v>
      </c>
      <c r="I10" s="256">
        <f t="shared" si="2"/>
        <v>0.46153846153846156</v>
      </c>
      <c r="J10" s="257">
        <v>35</v>
      </c>
      <c r="K10" s="258">
        <f t="shared" si="3"/>
        <v>0.46666666666666667</v>
      </c>
      <c r="L10" s="254">
        <v>117</v>
      </c>
      <c r="M10" s="256">
        <f t="shared" si="4"/>
        <v>0.9</v>
      </c>
      <c r="N10" s="257">
        <v>58</v>
      </c>
      <c r="O10" s="258">
        <f t="shared" si="5"/>
        <v>0.77333333333333332</v>
      </c>
      <c r="P10" s="254">
        <v>130</v>
      </c>
      <c r="Q10" s="256">
        <f t="shared" si="6"/>
        <v>1</v>
      </c>
      <c r="R10" s="257">
        <v>75</v>
      </c>
      <c r="S10" s="258">
        <f t="shared" si="7"/>
        <v>1</v>
      </c>
      <c r="T10" s="254">
        <v>130</v>
      </c>
      <c r="U10" s="256">
        <f t="shared" si="8"/>
        <v>1</v>
      </c>
      <c r="V10" s="257">
        <v>68</v>
      </c>
      <c r="W10" s="258">
        <f t="shared" si="9"/>
        <v>0.90666666666666662</v>
      </c>
      <c r="X10" s="254">
        <v>91</v>
      </c>
      <c r="Y10" s="256">
        <f t="shared" si="10"/>
        <v>0.7</v>
      </c>
      <c r="Z10" s="257">
        <v>53</v>
      </c>
      <c r="AA10" s="258">
        <f t="shared" si="11"/>
        <v>0.70666666666666667</v>
      </c>
      <c r="AB10" s="254">
        <v>130</v>
      </c>
      <c r="AC10" s="256">
        <f t="shared" si="12"/>
        <v>1</v>
      </c>
      <c r="AD10" s="257">
        <v>69</v>
      </c>
      <c r="AE10" s="258">
        <f t="shared" si="13"/>
        <v>0.92</v>
      </c>
      <c r="AF10" s="254">
        <v>130</v>
      </c>
      <c r="AG10" s="256">
        <f t="shared" si="14"/>
        <v>1</v>
      </c>
      <c r="AH10" s="257">
        <v>75</v>
      </c>
      <c r="AI10" s="258">
        <f t="shared" si="15"/>
        <v>1</v>
      </c>
      <c r="AJ10" s="254">
        <v>112</v>
      </c>
      <c r="AK10" s="256">
        <f t="shared" si="16"/>
        <v>0.86153846153846159</v>
      </c>
      <c r="AL10" s="257">
        <v>56</v>
      </c>
      <c r="AM10" s="258">
        <f t="shared" si="17"/>
        <v>0.7466666666666667</v>
      </c>
      <c r="AN10" s="254">
        <v>130</v>
      </c>
      <c r="AO10" s="256">
        <f t="shared" si="18"/>
        <v>1</v>
      </c>
      <c r="AP10" s="257">
        <v>75</v>
      </c>
      <c r="AQ10" s="258">
        <f t="shared" si="19"/>
        <v>1</v>
      </c>
      <c r="AR10" s="254">
        <v>98</v>
      </c>
      <c r="AS10" s="256">
        <f t="shared" si="20"/>
        <v>0.75384615384615383</v>
      </c>
      <c r="AT10" s="257">
        <v>20</v>
      </c>
      <c r="AU10" s="258">
        <f t="shared" si="21"/>
        <v>0.26666666666666666</v>
      </c>
    </row>
    <row r="11" spans="1:47" s="266" customFormat="1" x14ac:dyDescent="0.3">
      <c r="A11" s="260" t="s">
        <v>312</v>
      </c>
      <c r="B11" s="261">
        <v>65</v>
      </c>
      <c r="C11" s="262">
        <v>45</v>
      </c>
      <c r="D11" s="261">
        <v>65</v>
      </c>
      <c r="E11" s="263">
        <f t="shared" si="0"/>
        <v>1</v>
      </c>
      <c r="F11" s="264">
        <v>45</v>
      </c>
      <c r="G11" s="265">
        <f t="shared" si="1"/>
        <v>1</v>
      </c>
      <c r="H11" s="261">
        <v>30</v>
      </c>
      <c r="I11" s="263">
        <f t="shared" si="2"/>
        <v>0.46153846153846156</v>
      </c>
      <c r="J11" s="264">
        <v>21</v>
      </c>
      <c r="K11" s="265">
        <f t="shared" si="3"/>
        <v>0.46666666666666667</v>
      </c>
      <c r="L11" s="261">
        <v>59</v>
      </c>
      <c r="M11" s="263">
        <f t="shared" si="4"/>
        <v>0.90769230769230769</v>
      </c>
      <c r="N11" s="264">
        <v>30</v>
      </c>
      <c r="O11" s="265">
        <f t="shared" si="5"/>
        <v>0.66666666666666663</v>
      </c>
      <c r="P11" s="261">
        <v>65</v>
      </c>
      <c r="Q11" s="263">
        <f t="shared" si="6"/>
        <v>1</v>
      </c>
      <c r="R11" s="264">
        <v>45</v>
      </c>
      <c r="S11" s="265">
        <f t="shared" si="7"/>
        <v>1</v>
      </c>
      <c r="T11" s="261">
        <v>65</v>
      </c>
      <c r="U11" s="263">
        <f t="shared" si="8"/>
        <v>1</v>
      </c>
      <c r="V11" s="264">
        <v>36</v>
      </c>
      <c r="W11" s="265">
        <f t="shared" si="9"/>
        <v>0.8</v>
      </c>
      <c r="X11" s="261">
        <v>46</v>
      </c>
      <c r="Y11" s="263">
        <f t="shared" si="10"/>
        <v>0.70769230769230773</v>
      </c>
      <c r="Z11" s="264">
        <v>32</v>
      </c>
      <c r="AA11" s="265">
        <f t="shared" si="11"/>
        <v>0.71111111111111114</v>
      </c>
      <c r="AB11" s="261">
        <v>65</v>
      </c>
      <c r="AC11" s="263">
        <f t="shared" si="12"/>
        <v>1</v>
      </c>
      <c r="AD11" s="264">
        <v>36</v>
      </c>
      <c r="AE11" s="265">
        <f t="shared" si="13"/>
        <v>0.8</v>
      </c>
      <c r="AF11" s="261">
        <v>65</v>
      </c>
      <c r="AG11" s="263">
        <f t="shared" si="14"/>
        <v>1</v>
      </c>
      <c r="AH11" s="264">
        <v>0</v>
      </c>
      <c r="AI11" s="265">
        <f t="shared" si="15"/>
        <v>0</v>
      </c>
      <c r="AJ11" s="261">
        <v>57</v>
      </c>
      <c r="AK11" s="263">
        <f t="shared" si="16"/>
        <v>0.87692307692307692</v>
      </c>
      <c r="AL11" s="264">
        <v>29</v>
      </c>
      <c r="AM11" s="265">
        <f t="shared" si="17"/>
        <v>0.64444444444444449</v>
      </c>
      <c r="AN11" s="261">
        <v>65</v>
      </c>
      <c r="AO11" s="263">
        <f t="shared" si="18"/>
        <v>1</v>
      </c>
      <c r="AP11" s="264">
        <v>45</v>
      </c>
      <c r="AQ11" s="265">
        <f t="shared" si="19"/>
        <v>1</v>
      </c>
      <c r="AR11" s="261">
        <v>40</v>
      </c>
      <c r="AS11" s="263">
        <f t="shared" si="20"/>
        <v>0.61538461538461542</v>
      </c>
      <c r="AT11" s="264">
        <v>20</v>
      </c>
      <c r="AU11" s="265">
        <f t="shared" si="21"/>
        <v>0.44444444444444442</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40</v>
      </c>
      <c r="AS12" s="216">
        <f t="shared" si="20"/>
        <v>0.66666666666666663</v>
      </c>
      <c r="AT12" s="217">
        <v>20</v>
      </c>
      <c r="AU12" s="218">
        <f t="shared" si="21"/>
        <v>0.5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34</v>
      </c>
      <c r="AS13" s="221">
        <f t="shared" si="20"/>
        <v>0.75555555555555554</v>
      </c>
      <c r="AT13" s="222">
        <v>26</v>
      </c>
      <c r="AU13" s="223">
        <f t="shared" si="21"/>
        <v>0.74285714285714288</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225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156</v>
      </c>
      <c r="AN14" s="226">
        <f t="shared" ref="AN14" si="39">AN6+AN7</f>
        <v>345</v>
      </c>
      <c r="AP14" s="226">
        <f t="shared" ref="AP14" si="40">AP6+AP7</f>
        <v>225</v>
      </c>
      <c r="AR14" s="226">
        <f t="shared" ref="AR14" si="41">AR6+AR7</f>
        <v>258</v>
      </c>
      <c r="AT14" s="226">
        <f t="shared" ref="AT14" si="42">AT6+AT7</f>
        <v>74</v>
      </c>
    </row>
    <row r="15" spans="1:47" x14ac:dyDescent="0.3">
      <c r="D15" s="224" t="s">
        <v>310</v>
      </c>
    </row>
    <row r="16" spans="1:47" x14ac:dyDescent="0.3">
      <c r="A16" s="225" t="s">
        <v>315</v>
      </c>
      <c r="C16" s="226">
        <f>MAX($D$14:$AU$14)</f>
        <v>345</v>
      </c>
      <c r="D16" s="226">
        <f>SUM(F6,J6,N6,R6,V6,Z6,AD6,AH6,AL6,AP6,AT6)</f>
        <v>680</v>
      </c>
      <c r="E16" s="227">
        <f>D16/11</f>
        <v>61.81818181818182</v>
      </c>
      <c r="F16" t="s">
        <v>316</v>
      </c>
      <c r="H16" s="227">
        <f>E16+E20</f>
        <v>175.54545454545456</v>
      </c>
      <c r="I16" t="s">
        <v>316</v>
      </c>
    </row>
    <row r="17" spans="1:47" x14ac:dyDescent="0.3">
      <c r="C17" s="226">
        <f>MIN($D$14:$AU$14)</f>
        <v>74</v>
      </c>
      <c r="D17" s="226">
        <f>SUM(D6,H6,L6,P6,T6,X6,AB6,AF6,AJ6,AN6,AR6)</f>
        <v>1011</v>
      </c>
      <c r="E17" s="227">
        <f>D17/11</f>
        <v>91.909090909090907</v>
      </c>
      <c r="F17" t="s">
        <v>317</v>
      </c>
      <c r="H17" s="227">
        <f>E17+E21</f>
        <v>295.45454545454544</v>
      </c>
      <c r="I17" t="s">
        <v>317</v>
      </c>
    </row>
    <row r="18" spans="1:47" x14ac:dyDescent="0.3">
      <c r="C18" s="226">
        <f>AVERAGE($D$14:$AU$14)</f>
        <v>235.5</v>
      </c>
    </row>
    <row r="19" spans="1:47" x14ac:dyDescent="0.3">
      <c r="D19" s="224" t="s">
        <v>318</v>
      </c>
    </row>
    <row r="20" spans="1:47" x14ac:dyDescent="0.3">
      <c r="D20" s="226">
        <f>SUM(F7,J7,N7,R7,V7,Z7,AD7,AH7,AL7,AP7,AT7)</f>
        <v>1251</v>
      </c>
      <c r="E20" s="227">
        <f>D20/11</f>
        <v>113.72727272727273</v>
      </c>
      <c r="F20" t="s">
        <v>316</v>
      </c>
      <c r="I20" s="227"/>
    </row>
    <row r="21" spans="1:47" x14ac:dyDescent="0.3">
      <c r="D21" s="226">
        <f>SUM(D7,H7,L7,P7,T7,X7,AB7,AF7,AJ7,AN7,AR7)</f>
        <v>2239</v>
      </c>
      <c r="E21" s="227">
        <f>D21/11</f>
        <v>203.54545454545453</v>
      </c>
      <c r="F21" t="s">
        <v>317</v>
      </c>
    </row>
    <row r="23" spans="1:47" ht="14.5" thickBot="1" x14ac:dyDescent="0.35">
      <c r="A23" s="252" t="s">
        <v>358</v>
      </c>
    </row>
    <row r="24" spans="1:47" ht="18.5" thickBot="1" x14ac:dyDescent="0.35">
      <c r="A24" s="205"/>
      <c r="B24" s="363" t="s">
        <v>297</v>
      </c>
      <c r="C24" s="365"/>
      <c r="D24" s="363" t="s">
        <v>298</v>
      </c>
      <c r="E24" s="364"/>
      <c r="F24" s="364"/>
      <c r="G24" s="365"/>
      <c r="H24" s="363" t="s">
        <v>299</v>
      </c>
      <c r="I24" s="364"/>
      <c r="J24" s="364"/>
      <c r="K24" s="365"/>
      <c r="L24" s="367" t="s">
        <v>300</v>
      </c>
      <c r="M24" s="364"/>
      <c r="N24" s="364"/>
      <c r="O24" s="365"/>
      <c r="P24" s="363" t="s">
        <v>359</v>
      </c>
      <c r="Q24" s="364"/>
      <c r="R24" s="364"/>
      <c r="S24" s="365"/>
      <c r="T24" s="363" t="s">
        <v>360</v>
      </c>
      <c r="U24" s="364"/>
      <c r="V24" s="364"/>
      <c r="W24" s="365"/>
      <c r="X24" s="363" t="s">
        <v>361</v>
      </c>
      <c r="Y24" s="364"/>
      <c r="Z24" s="364"/>
      <c r="AA24" s="365"/>
      <c r="AB24" s="363" t="s">
        <v>301</v>
      </c>
      <c r="AC24" s="364"/>
      <c r="AD24" s="364"/>
      <c r="AE24" s="365"/>
      <c r="AF24" s="363" t="s">
        <v>302</v>
      </c>
      <c r="AG24" s="364"/>
      <c r="AH24" s="364"/>
      <c r="AI24" s="365"/>
      <c r="AJ24" s="363" t="s">
        <v>303</v>
      </c>
      <c r="AK24" s="364"/>
      <c r="AL24" s="364"/>
      <c r="AM24" s="365"/>
      <c r="AN24" s="363" t="s">
        <v>362</v>
      </c>
      <c r="AO24" s="364"/>
      <c r="AP24" s="364"/>
      <c r="AQ24" s="365"/>
      <c r="AR24" s="363" t="s">
        <v>304</v>
      </c>
      <c r="AS24" s="364"/>
      <c r="AT24" s="364"/>
      <c r="AU24" s="365"/>
    </row>
    <row r="25" spans="1:47" ht="28.5" customHeight="1" x14ac:dyDescent="0.3">
      <c r="A25" s="205"/>
      <c r="B25" s="270" t="s">
        <v>305</v>
      </c>
      <c r="C25" s="271" t="s">
        <v>306</v>
      </c>
      <c r="D25" s="359" t="s">
        <v>305</v>
      </c>
      <c r="E25" s="360"/>
      <c r="F25" s="361" t="s">
        <v>306</v>
      </c>
      <c r="G25" s="362"/>
      <c r="H25" s="359" t="s">
        <v>305</v>
      </c>
      <c r="I25" s="360"/>
      <c r="J25" s="361" t="s">
        <v>306</v>
      </c>
      <c r="K25" s="362"/>
      <c r="L25" s="359" t="s">
        <v>305</v>
      </c>
      <c r="M25" s="360"/>
      <c r="N25" s="361" t="s">
        <v>306</v>
      </c>
      <c r="O25" s="362"/>
      <c r="P25" s="359" t="s">
        <v>305</v>
      </c>
      <c r="Q25" s="360"/>
      <c r="R25" s="361" t="s">
        <v>306</v>
      </c>
      <c r="S25" s="362"/>
      <c r="T25" s="359" t="s">
        <v>305</v>
      </c>
      <c r="U25" s="360"/>
      <c r="V25" s="361" t="s">
        <v>306</v>
      </c>
      <c r="W25" s="362"/>
      <c r="X25" s="359" t="s">
        <v>305</v>
      </c>
      <c r="Y25" s="360"/>
      <c r="Z25" s="361" t="s">
        <v>306</v>
      </c>
      <c r="AA25" s="362"/>
      <c r="AB25" s="359" t="s">
        <v>305</v>
      </c>
      <c r="AC25" s="360"/>
      <c r="AD25" s="361" t="s">
        <v>306</v>
      </c>
      <c r="AE25" s="362"/>
      <c r="AF25" s="359" t="s">
        <v>305</v>
      </c>
      <c r="AG25" s="360"/>
      <c r="AH25" s="361" t="s">
        <v>306</v>
      </c>
      <c r="AI25" s="362"/>
      <c r="AJ25" s="359" t="s">
        <v>305</v>
      </c>
      <c r="AK25" s="360"/>
      <c r="AL25" s="361" t="s">
        <v>306</v>
      </c>
      <c r="AM25" s="362"/>
      <c r="AN25" s="359" t="s">
        <v>305</v>
      </c>
      <c r="AO25" s="360"/>
      <c r="AP25" s="361" t="s">
        <v>306</v>
      </c>
      <c r="AQ25" s="362"/>
      <c r="AR25" s="359" t="s">
        <v>305</v>
      </c>
      <c r="AS25" s="360"/>
      <c r="AT25" s="361" t="s">
        <v>306</v>
      </c>
      <c r="AU25" s="362"/>
    </row>
    <row r="26" spans="1:47" ht="28" x14ac:dyDescent="0.3">
      <c r="A26" s="207" t="s">
        <v>363</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92</v>
      </c>
      <c r="U27" s="216">
        <f>T27/$B27</f>
        <v>0.87619047619047619</v>
      </c>
      <c r="V27" s="217">
        <v>60</v>
      </c>
      <c r="W27" s="218">
        <f>V27/$C27</f>
        <v>0.8</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364</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186</v>
      </c>
      <c r="U28" s="216">
        <f t="shared" ref="U28:U34" si="51">T28/$B28</f>
        <v>0.77500000000000002</v>
      </c>
      <c r="V28" s="217">
        <v>98</v>
      </c>
      <c r="W28" s="218">
        <f t="shared" ref="W28:W34" si="52">V28/$C28</f>
        <v>0.65333333333333332</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365</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114</v>
      </c>
      <c r="U29" s="216">
        <f t="shared" si="51"/>
        <v>0.47499999999999998</v>
      </c>
      <c r="V29" s="217">
        <v>57</v>
      </c>
      <c r="W29" s="218">
        <f t="shared" si="52"/>
        <v>0.38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366</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58</v>
      </c>
      <c r="U30" s="216">
        <f t="shared" si="51"/>
        <v>0.24166666666666667</v>
      </c>
      <c r="V30" s="217">
        <v>30</v>
      </c>
      <c r="W30" s="218">
        <f t="shared" si="52"/>
        <v>0.2</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9" customFormat="1" x14ac:dyDescent="0.3">
      <c r="A31" s="253" t="s">
        <v>311</v>
      </c>
      <c r="B31" s="254">
        <v>130</v>
      </c>
      <c r="C31" s="255">
        <v>75</v>
      </c>
      <c r="D31" s="254">
        <v>130</v>
      </c>
      <c r="E31" s="256">
        <f t="shared" si="43"/>
        <v>1</v>
      </c>
      <c r="F31" s="257">
        <v>75</v>
      </c>
      <c r="G31" s="258">
        <f t="shared" si="44"/>
        <v>1</v>
      </c>
      <c r="H31" s="254">
        <v>60</v>
      </c>
      <c r="I31" s="256">
        <f t="shared" si="45"/>
        <v>0.46153846153846156</v>
      </c>
      <c r="J31" s="257">
        <v>35</v>
      </c>
      <c r="K31" s="258">
        <f t="shared" si="46"/>
        <v>0.46666666666666667</v>
      </c>
      <c r="L31" s="254">
        <v>117</v>
      </c>
      <c r="M31" s="256">
        <f t="shared" si="47"/>
        <v>0.9</v>
      </c>
      <c r="N31" s="257">
        <v>58</v>
      </c>
      <c r="O31" s="258">
        <f t="shared" si="48"/>
        <v>0.77333333333333332</v>
      </c>
      <c r="P31" s="254">
        <v>130</v>
      </c>
      <c r="Q31" s="256">
        <f t="shared" si="49"/>
        <v>1</v>
      </c>
      <c r="R31" s="257">
        <v>75</v>
      </c>
      <c r="S31" s="258">
        <f t="shared" si="50"/>
        <v>1</v>
      </c>
      <c r="T31" s="254">
        <v>114</v>
      </c>
      <c r="U31" s="256">
        <f t="shared" si="51"/>
        <v>0.87692307692307692</v>
      </c>
      <c r="V31" s="257">
        <v>57</v>
      </c>
      <c r="W31" s="258">
        <f t="shared" si="52"/>
        <v>0.76</v>
      </c>
      <c r="X31" s="254">
        <v>91</v>
      </c>
      <c r="Y31" s="256">
        <f t="shared" si="53"/>
        <v>0.7</v>
      </c>
      <c r="Z31" s="257">
        <v>53</v>
      </c>
      <c r="AA31" s="258">
        <f t="shared" si="54"/>
        <v>0.70666666666666667</v>
      </c>
      <c r="AB31" s="254">
        <v>130</v>
      </c>
      <c r="AC31" s="256">
        <f t="shared" si="55"/>
        <v>1</v>
      </c>
      <c r="AD31" s="257">
        <v>69</v>
      </c>
      <c r="AE31" s="258">
        <f t="shared" si="56"/>
        <v>0.92</v>
      </c>
      <c r="AF31" s="254">
        <v>130</v>
      </c>
      <c r="AG31" s="256">
        <f t="shared" si="57"/>
        <v>1</v>
      </c>
      <c r="AH31" s="257">
        <v>75</v>
      </c>
      <c r="AI31" s="258">
        <f t="shared" si="58"/>
        <v>1</v>
      </c>
      <c r="AJ31" s="254">
        <v>112</v>
      </c>
      <c r="AK31" s="256">
        <f t="shared" si="59"/>
        <v>0.86153846153846159</v>
      </c>
      <c r="AL31" s="257">
        <v>56</v>
      </c>
      <c r="AM31" s="258">
        <f t="shared" si="60"/>
        <v>0.7466666666666667</v>
      </c>
      <c r="AN31" s="254">
        <v>130</v>
      </c>
      <c r="AO31" s="256">
        <f t="shared" si="61"/>
        <v>1</v>
      </c>
      <c r="AP31" s="257">
        <v>75</v>
      </c>
      <c r="AQ31" s="258">
        <f t="shared" si="62"/>
        <v>1</v>
      </c>
      <c r="AR31" s="254">
        <v>98</v>
      </c>
      <c r="AS31" s="256">
        <f t="shared" si="63"/>
        <v>0.75384615384615383</v>
      </c>
      <c r="AT31" s="257">
        <v>20</v>
      </c>
      <c r="AU31" s="258">
        <f t="shared" si="64"/>
        <v>0.26666666666666666</v>
      </c>
    </row>
    <row r="32" spans="1:47" s="266" customFormat="1" x14ac:dyDescent="0.3">
      <c r="A32" s="260" t="s">
        <v>312</v>
      </c>
      <c r="B32" s="261">
        <v>65</v>
      </c>
      <c r="C32" s="262">
        <v>45</v>
      </c>
      <c r="D32" s="261">
        <v>65</v>
      </c>
      <c r="E32" s="263">
        <f t="shared" si="43"/>
        <v>1</v>
      </c>
      <c r="F32" s="264">
        <v>45</v>
      </c>
      <c r="G32" s="265">
        <f t="shared" si="44"/>
        <v>1</v>
      </c>
      <c r="H32" s="261">
        <v>30</v>
      </c>
      <c r="I32" s="263">
        <f t="shared" si="45"/>
        <v>0.46153846153846156</v>
      </c>
      <c r="J32" s="264">
        <v>21</v>
      </c>
      <c r="K32" s="265">
        <f t="shared" si="46"/>
        <v>0.46666666666666667</v>
      </c>
      <c r="L32" s="261">
        <v>59</v>
      </c>
      <c r="M32" s="263">
        <f t="shared" si="47"/>
        <v>0.90769230769230769</v>
      </c>
      <c r="N32" s="264">
        <v>30</v>
      </c>
      <c r="O32" s="265">
        <f t="shared" si="48"/>
        <v>0.66666666666666663</v>
      </c>
      <c r="P32" s="261">
        <v>65</v>
      </c>
      <c r="Q32" s="263">
        <f t="shared" si="49"/>
        <v>1</v>
      </c>
      <c r="R32" s="264">
        <v>45</v>
      </c>
      <c r="S32" s="265">
        <f t="shared" si="50"/>
        <v>1</v>
      </c>
      <c r="T32" s="261">
        <v>58</v>
      </c>
      <c r="U32" s="263">
        <f t="shared" si="51"/>
        <v>0.89230769230769236</v>
      </c>
      <c r="V32" s="264">
        <v>30</v>
      </c>
      <c r="W32" s="265">
        <f t="shared" si="52"/>
        <v>0.66666666666666663</v>
      </c>
      <c r="X32" s="261">
        <v>46</v>
      </c>
      <c r="Y32" s="263">
        <f t="shared" si="53"/>
        <v>0.70769230769230773</v>
      </c>
      <c r="Z32" s="264">
        <v>32</v>
      </c>
      <c r="AA32" s="265">
        <f t="shared" si="54"/>
        <v>0.71111111111111114</v>
      </c>
      <c r="AB32" s="261">
        <v>65</v>
      </c>
      <c r="AC32" s="263">
        <f t="shared" si="55"/>
        <v>1</v>
      </c>
      <c r="AD32" s="264">
        <v>36</v>
      </c>
      <c r="AE32" s="265">
        <f t="shared" si="56"/>
        <v>0.8</v>
      </c>
      <c r="AF32" s="261">
        <v>65</v>
      </c>
      <c r="AG32" s="263">
        <f t="shared" si="57"/>
        <v>1</v>
      </c>
      <c r="AH32" s="264">
        <v>0</v>
      </c>
      <c r="AI32" s="265">
        <f t="shared" si="58"/>
        <v>0</v>
      </c>
      <c r="AJ32" s="261">
        <v>57</v>
      </c>
      <c r="AK32" s="263">
        <f t="shared" si="59"/>
        <v>0.87692307692307692</v>
      </c>
      <c r="AL32" s="264">
        <v>29</v>
      </c>
      <c r="AM32" s="265">
        <f t="shared" si="60"/>
        <v>0.64444444444444449</v>
      </c>
      <c r="AN32" s="261">
        <v>65</v>
      </c>
      <c r="AO32" s="263">
        <f t="shared" si="61"/>
        <v>1</v>
      </c>
      <c r="AP32" s="264">
        <v>45</v>
      </c>
      <c r="AQ32" s="265">
        <f t="shared" si="62"/>
        <v>1</v>
      </c>
      <c r="AR32" s="261">
        <v>40</v>
      </c>
      <c r="AS32" s="263">
        <f t="shared" si="63"/>
        <v>0.61538461538461542</v>
      </c>
      <c r="AT32" s="264">
        <v>20</v>
      </c>
      <c r="AU32" s="265">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54</v>
      </c>
      <c r="U33" s="216">
        <f t="shared" si="51"/>
        <v>0.9</v>
      </c>
      <c r="V33" s="217">
        <v>25</v>
      </c>
      <c r="W33" s="218">
        <f t="shared" si="52"/>
        <v>0.625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278</v>
      </c>
      <c r="V35" s="226">
        <f t="shared" ref="V35" si="72">V27+V28</f>
        <v>158</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 t="shared" ref="AR35" si="83">AR27+AR28</f>
        <v>258</v>
      </c>
      <c r="AT35" s="226">
        <f t="shared" ref="AT35" si="84">AT27+AT28</f>
        <v>74</v>
      </c>
    </row>
    <row r="36" spans="1:47" x14ac:dyDescent="0.3">
      <c r="B36" s="226">
        <f>B6-B27</f>
        <v>0</v>
      </c>
      <c r="C36" s="226">
        <f t="shared" ref="C36:AT41" si="85">C6-C27</f>
        <v>0</v>
      </c>
      <c r="D36" s="226">
        <f t="shared" si="85"/>
        <v>0</v>
      </c>
      <c r="E36" s="226"/>
      <c r="F36" s="226">
        <f t="shared" si="85"/>
        <v>0</v>
      </c>
      <c r="G36" s="226"/>
      <c r="H36" s="226">
        <f t="shared" si="85"/>
        <v>0</v>
      </c>
      <c r="I36" s="226"/>
      <c r="J36" s="226">
        <f t="shared" si="85"/>
        <v>0</v>
      </c>
      <c r="K36" s="226"/>
      <c r="L36" s="226">
        <f t="shared" si="85"/>
        <v>0</v>
      </c>
      <c r="M36" s="226"/>
      <c r="N36" s="226">
        <f t="shared" si="85"/>
        <v>0</v>
      </c>
      <c r="O36" s="226"/>
      <c r="P36" s="226">
        <f t="shared" si="85"/>
        <v>0</v>
      </c>
      <c r="Q36" s="226"/>
      <c r="R36" s="226">
        <f t="shared" si="85"/>
        <v>0</v>
      </c>
      <c r="S36" s="226"/>
      <c r="T36" s="226">
        <f t="shared" si="85"/>
        <v>13</v>
      </c>
      <c r="U36" s="226"/>
      <c r="V36" s="226">
        <f t="shared" si="85"/>
        <v>12</v>
      </c>
      <c r="W36" s="226"/>
      <c r="X36" s="226">
        <f t="shared" si="85"/>
        <v>0</v>
      </c>
      <c r="Y36" s="226"/>
      <c r="Z36" s="226">
        <f t="shared" si="85"/>
        <v>0</v>
      </c>
      <c r="AA36" s="226"/>
      <c r="AB36" s="226">
        <f t="shared" si="85"/>
        <v>0</v>
      </c>
      <c r="AC36" s="226"/>
      <c r="AD36" s="226">
        <f t="shared" si="85"/>
        <v>0</v>
      </c>
      <c r="AE36" s="226"/>
      <c r="AF36" s="226">
        <f t="shared" si="85"/>
        <v>0</v>
      </c>
      <c r="AG36" s="226"/>
      <c r="AH36" s="226">
        <f t="shared" si="85"/>
        <v>0</v>
      </c>
      <c r="AI36" s="226"/>
      <c r="AJ36" s="226">
        <f t="shared" si="85"/>
        <v>0</v>
      </c>
      <c r="AK36" s="226"/>
      <c r="AL36" s="226">
        <f t="shared" si="85"/>
        <v>0</v>
      </c>
      <c r="AM36" s="226"/>
      <c r="AN36" s="226">
        <f t="shared" si="85"/>
        <v>0</v>
      </c>
      <c r="AO36" s="226"/>
      <c r="AP36" s="226">
        <f t="shared" si="85"/>
        <v>0</v>
      </c>
      <c r="AQ36" s="226"/>
      <c r="AR36" s="226">
        <f t="shared" si="85"/>
        <v>0</v>
      </c>
      <c r="AS36" s="226"/>
      <c r="AT36" s="226">
        <f t="shared" si="85"/>
        <v>0</v>
      </c>
      <c r="AU36" s="226"/>
    </row>
    <row r="37" spans="1:47" x14ac:dyDescent="0.3">
      <c r="B37" s="226">
        <f t="shared" ref="B37:P43" si="86">B7-B28</f>
        <v>0</v>
      </c>
      <c r="C37" s="226">
        <f t="shared" si="86"/>
        <v>0</v>
      </c>
      <c r="D37" s="226">
        <f t="shared" si="86"/>
        <v>0</v>
      </c>
      <c r="E37" s="226"/>
      <c r="F37" s="226">
        <f t="shared" si="86"/>
        <v>0</v>
      </c>
      <c r="G37" s="226"/>
      <c r="H37" s="226">
        <f t="shared" si="86"/>
        <v>0</v>
      </c>
      <c r="I37" s="226"/>
      <c r="J37" s="226">
        <f t="shared" si="86"/>
        <v>0</v>
      </c>
      <c r="K37" s="226"/>
      <c r="L37" s="226">
        <f t="shared" si="86"/>
        <v>0</v>
      </c>
      <c r="M37" s="226"/>
      <c r="N37" s="226">
        <f t="shared" si="86"/>
        <v>0</v>
      </c>
      <c r="O37" s="226"/>
      <c r="P37" s="226">
        <f t="shared" si="86"/>
        <v>0</v>
      </c>
      <c r="Q37" s="226"/>
      <c r="R37" s="226">
        <f t="shared" si="85"/>
        <v>0</v>
      </c>
      <c r="S37" s="226"/>
      <c r="T37" s="226">
        <f t="shared" si="85"/>
        <v>36</v>
      </c>
      <c r="U37" s="226"/>
      <c r="V37" s="226">
        <f t="shared" si="85"/>
        <v>19</v>
      </c>
      <c r="W37" s="226"/>
      <c r="X37" s="226">
        <f t="shared" si="85"/>
        <v>0</v>
      </c>
      <c r="Y37" s="226"/>
      <c r="Z37" s="226">
        <f t="shared" si="85"/>
        <v>0</v>
      </c>
      <c r="AA37" s="226"/>
      <c r="AB37" s="226">
        <f t="shared" si="85"/>
        <v>0</v>
      </c>
      <c r="AC37" s="226"/>
      <c r="AD37" s="226">
        <f t="shared" si="85"/>
        <v>0</v>
      </c>
      <c r="AE37" s="226"/>
      <c r="AF37" s="226">
        <f t="shared" si="85"/>
        <v>0</v>
      </c>
      <c r="AG37" s="226"/>
      <c r="AH37" s="226">
        <f t="shared" si="85"/>
        <v>0</v>
      </c>
      <c r="AI37" s="226"/>
      <c r="AJ37" s="226">
        <f t="shared" si="85"/>
        <v>0</v>
      </c>
      <c r="AK37" s="226"/>
      <c r="AL37" s="226">
        <f t="shared" si="85"/>
        <v>0</v>
      </c>
      <c r="AM37" s="226"/>
      <c r="AN37" s="226">
        <f t="shared" si="85"/>
        <v>0</v>
      </c>
      <c r="AO37" s="226"/>
      <c r="AP37" s="226">
        <f t="shared" si="85"/>
        <v>0</v>
      </c>
      <c r="AQ37" s="226"/>
      <c r="AR37" s="226">
        <f t="shared" si="85"/>
        <v>0</v>
      </c>
      <c r="AS37" s="226"/>
      <c r="AT37" s="226">
        <f t="shared" si="85"/>
        <v>0</v>
      </c>
      <c r="AU37" s="226"/>
    </row>
    <row r="38" spans="1:47" x14ac:dyDescent="0.3">
      <c r="B38" s="226">
        <f t="shared" si="86"/>
        <v>0</v>
      </c>
      <c r="C38" s="226">
        <f t="shared" si="85"/>
        <v>0</v>
      </c>
      <c r="D38" s="226">
        <f t="shared" si="85"/>
        <v>0</v>
      </c>
      <c r="E38" s="226"/>
      <c r="F38" s="226">
        <f t="shared" si="85"/>
        <v>0</v>
      </c>
      <c r="G38" s="226"/>
      <c r="H38" s="226">
        <f t="shared" si="85"/>
        <v>0</v>
      </c>
      <c r="I38" s="226"/>
      <c r="J38" s="226">
        <f t="shared" si="85"/>
        <v>0</v>
      </c>
      <c r="K38" s="226"/>
      <c r="L38" s="226">
        <f t="shared" si="85"/>
        <v>0</v>
      </c>
      <c r="M38" s="226"/>
      <c r="N38" s="226">
        <f t="shared" si="85"/>
        <v>0</v>
      </c>
      <c r="O38" s="226"/>
      <c r="P38" s="226">
        <f t="shared" si="85"/>
        <v>0</v>
      </c>
      <c r="Q38" s="226"/>
      <c r="R38" s="226">
        <f t="shared" si="85"/>
        <v>0</v>
      </c>
      <c r="S38" s="226"/>
      <c r="T38" s="226">
        <f t="shared" si="85"/>
        <v>108</v>
      </c>
      <c r="U38" s="226"/>
      <c r="V38" s="226">
        <f t="shared" si="85"/>
        <v>60</v>
      </c>
      <c r="W38" s="226"/>
      <c r="X38" s="226">
        <f t="shared" si="85"/>
        <v>0</v>
      </c>
      <c r="Y38" s="226"/>
      <c r="Z38" s="226">
        <f t="shared" si="85"/>
        <v>0</v>
      </c>
      <c r="AA38" s="226"/>
      <c r="AB38" s="226">
        <f t="shared" si="85"/>
        <v>0</v>
      </c>
      <c r="AC38" s="226"/>
      <c r="AD38" s="226">
        <f t="shared" si="85"/>
        <v>0</v>
      </c>
      <c r="AE38" s="226"/>
      <c r="AF38" s="226">
        <f t="shared" si="85"/>
        <v>0</v>
      </c>
      <c r="AG38" s="226"/>
      <c r="AH38" s="226">
        <f t="shared" si="85"/>
        <v>0</v>
      </c>
      <c r="AI38" s="226"/>
      <c r="AJ38" s="226">
        <f t="shared" si="85"/>
        <v>0</v>
      </c>
      <c r="AK38" s="226"/>
      <c r="AL38" s="226">
        <f t="shared" si="85"/>
        <v>0</v>
      </c>
      <c r="AM38" s="226"/>
      <c r="AN38" s="226">
        <f t="shared" si="85"/>
        <v>0</v>
      </c>
      <c r="AO38" s="226"/>
      <c r="AP38" s="226">
        <f t="shared" si="85"/>
        <v>0</v>
      </c>
      <c r="AQ38" s="226"/>
      <c r="AR38" s="226">
        <f t="shared" si="85"/>
        <v>0</v>
      </c>
      <c r="AS38" s="226"/>
      <c r="AT38" s="226">
        <f t="shared" si="85"/>
        <v>0</v>
      </c>
      <c r="AU38" s="226"/>
    </row>
    <row r="39" spans="1:47" x14ac:dyDescent="0.3">
      <c r="B39" s="226">
        <f t="shared" si="86"/>
        <v>0</v>
      </c>
      <c r="C39" s="226">
        <f t="shared" si="85"/>
        <v>0</v>
      </c>
      <c r="D39" s="226">
        <f t="shared" si="85"/>
        <v>0</v>
      </c>
      <c r="E39" s="226"/>
      <c r="F39" s="226">
        <f t="shared" si="85"/>
        <v>0</v>
      </c>
      <c r="G39" s="226"/>
      <c r="H39" s="226">
        <f t="shared" si="85"/>
        <v>0</v>
      </c>
      <c r="I39" s="226"/>
      <c r="J39" s="226">
        <f t="shared" si="85"/>
        <v>0</v>
      </c>
      <c r="K39" s="226"/>
      <c r="L39" s="226">
        <f t="shared" si="85"/>
        <v>0</v>
      </c>
      <c r="M39" s="226"/>
      <c r="N39" s="226">
        <f t="shared" si="85"/>
        <v>0</v>
      </c>
      <c r="O39" s="226"/>
      <c r="P39" s="226">
        <f t="shared" si="85"/>
        <v>0</v>
      </c>
      <c r="Q39" s="226"/>
      <c r="R39" s="226">
        <f t="shared" si="85"/>
        <v>0</v>
      </c>
      <c r="S39" s="226"/>
      <c r="T39" s="226">
        <f t="shared" si="85"/>
        <v>164</v>
      </c>
      <c r="U39" s="226"/>
      <c r="V39" s="226">
        <f t="shared" si="85"/>
        <v>87</v>
      </c>
      <c r="W39" s="226"/>
      <c r="X39" s="226">
        <f t="shared" si="85"/>
        <v>0</v>
      </c>
      <c r="Y39" s="226"/>
      <c r="Z39" s="226">
        <f t="shared" si="85"/>
        <v>0</v>
      </c>
      <c r="AA39" s="226"/>
      <c r="AB39" s="226">
        <f t="shared" si="85"/>
        <v>0</v>
      </c>
      <c r="AC39" s="226"/>
      <c r="AD39" s="226">
        <f t="shared" si="85"/>
        <v>0</v>
      </c>
      <c r="AE39" s="226"/>
      <c r="AF39" s="226">
        <f t="shared" si="85"/>
        <v>0</v>
      </c>
      <c r="AG39" s="226"/>
      <c r="AH39" s="226">
        <f t="shared" si="85"/>
        <v>0</v>
      </c>
      <c r="AI39" s="226"/>
      <c r="AJ39" s="226">
        <f t="shared" si="85"/>
        <v>0</v>
      </c>
      <c r="AK39" s="226"/>
      <c r="AL39" s="226">
        <f t="shared" si="85"/>
        <v>0</v>
      </c>
      <c r="AM39" s="226"/>
      <c r="AN39" s="226">
        <f t="shared" si="85"/>
        <v>0</v>
      </c>
      <c r="AO39" s="226"/>
      <c r="AP39" s="226">
        <f t="shared" si="85"/>
        <v>0</v>
      </c>
      <c r="AQ39" s="226"/>
      <c r="AR39" s="226">
        <f t="shared" si="85"/>
        <v>0</v>
      </c>
      <c r="AS39" s="226"/>
      <c r="AT39" s="226">
        <f t="shared" si="85"/>
        <v>0</v>
      </c>
      <c r="AU39" s="226"/>
    </row>
    <row r="40" spans="1:47" x14ac:dyDescent="0.3">
      <c r="B40" s="226">
        <f t="shared" si="86"/>
        <v>0</v>
      </c>
      <c r="C40" s="226">
        <f t="shared" si="85"/>
        <v>0</v>
      </c>
      <c r="D40" s="226">
        <f t="shared" si="85"/>
        <v>0</v>
      </c>
      <c r="E40" s="226"/>
      <c r="F40" s="226">
        <f t="shared" si="85"/>
        <v>0</v>
      </c>
      <c r="G40" s="226"/>
      <c r="H40" s="226">
        <f t="shared" si="85"/>
        <v>0</v>
      </c>
      <c r="I40" s="226"/>
      <c r="J40" s="226">
        <f t="shared" si="85"/>
        <v>0</v>
      </c>
      <c r="K40" s="226"/>
      <c r="L40" s="226">
        <f t="shared" si="85"/>
        <v>0</v>
      </c>
      <c r="M40" s="226"/>
      <c r="N40" s="226">
        <f t="shared" si="85"/>
        <v>0</v>
      </c>
      <c r="O40" s="226"/>
      <c r="P40" s="226">
        <f t="shared" si="85"/>
        <v>0</v>
      </c>
      <c r="Q40" s="226"/>
      <c r="R40" s="226">
        <f t="shared" si="85"/>
        <v>0</v>
      </c>
      <c r="S40" s="226"/>
      <c r="T40" s="226">
        <f t="shared" si="85"/>
        <v>16</v>
      </c>
      <c r="U40" s="226"/>
      <c r="V40" s="226">
        <f t="shared" si="85"/>
        <v>11</v>
      </c>
      <c r="W40" s="226"/>
      <c r="X40" s="226">
        <f t="shared" si="85"/>
        <v>0</v>
      </c>
      <c r="Y40" s="226"/>
      <c r="Z40" s="226">
        <f t="shared" si="85"/>
        <v>0</v>
      </c>
      <c r="AA40" s="226"/>
      <c r="AB40" s="226">
        <f t="shared" si="85"/>
        <v>0</v>
      </c>
      <c r="AC40" s="226"/>
      <c r="AD40" s="226">
        <f t="shared" si="85"/>
        <v>0</v>
      </c>
      <c r="AE40" s="226"/>
      <c r="AF40" s="226">
        <f t="shared" si="85"/>
        <v>0</v>
      </c>
      <c r="AG40" s="226"/>
      <c r="AH40" s="226">
        <f t="shared" si="85"/>
        <v>0</v>
      </c>
      <c r="AI40" s="226"/>
      <c r="AJ40" s="226">
        <f t="shared" si="85"/>
        <v>0</v>
      </c>
      <c r="AK40" s="226"/>
      <c r="AL40" s="226">
        <f t="shared" si="85"/>
        <v>0</v>
      </c>
      <c r="AM40" s="226"/>
      <c r="AN40" s="226">
        <f t="shared" si="85"/>
        <v>0</v>
      </c>
      <c r="AO40" s="226"/>
      <c r="AP40" s="226">
        <f t="shared" si="85"/>
        <v>0</v>
      </c>
      <c r="AQ40" s="226"/>
      <c r="AR40" s="226">
        <f t="shared" si="85"/>
        <v>0</v>
      </c>
      <c r="AS40" s="226"/>
      <c r="AT40" s="226">
        <f t="shared" si="85"/>
        <v>0</v>
      </c>
      <c r="AU40" s="226"/>
    </row>
    <row r="41" spans="1:47" x14ac:dyDescent="0.3">
      <c r="B41" s="226">
        <f t="shared" si="86"/>
        <v>0</v>
      </c>
      <c r="C41" s="226">
        <f t="shared" si="85"/>
        <v>0</v>
      </c>
      <c r="D41" s="226">
        <f t="shared" si="85"/>
        <v>0</v>
      </c>
      <c r="E41" s="226"/>
      <c r="F41" s="226">
        <f t="shared" si="85"/>
        <v>0</v>
      </c>
      <c r="G41" s="226"/>
      <c r="H41" s="226">
        <f t="shared" si="85"/>
        <v>0</v>
      </c>
      <c r="I41" s="226"/>
      <c r="J41" s="226">
        <f t="shared" si="85"/>
        <v>0</v>
      </c>
      <c r="K41" s="226"/>
      <c r="L41" s="226">
        <f t="shared" si="85"/>
        <v>0</v>
      </c>
      <c r="M41" s="226"/>
      <c r="N41" s="226">
        <f t="shared" si="85"/>
        <v>0</v>
      </c>
      <c r="O41" s="226"/>
      <c r="P41" s="226">
        <f t="shared" si="85"/>
        <v>0</v>
      </c>
      <c r="Q41" s="226"/>
      <c r="R41" s="226">
        <f t="shared" si="85"/>
        <v>0</v>
      </c>
      <c r="S41" s="226"/>
      <c r="T41" s="226">
        <f t="shared" si="85"/>
        <v>7</v>
      </c>
      <c r="U41" s="226"/>
      <c r="V41" s="226">
        <f t="shared" si="85"/>
        <v>6</v>
      </c>
      <c r="W41" s="226"/>
      <c r="X41" s="226">
        <f t="shared" si="85"/>
        <v>0</v>
      </c>
      <c r="Y41" s="226"/>
      <c r="Z41" s="226">
        <f t="shared" si="85"/>
        <v>0</v>
      </c>
      <c r="AA41" s="226"/>
      <c r="AB41" s="226">
        <f t="shared" si="85"/>
        <v>0</v>
      </c>
      <c r="AC41" s="226"/>
      <c r="AD41" s="226">
        <f t="shared" si="85"/>
        <v>0</v>
      </c>
      <c r="AE41" s="226"/>
      <c r="AF41" s="226">
        <f t="shared" si="85"/>
        <v>0</v>
      </c>
      <c r="AG41" s="226"/>
      <c r="AH41" s="226">
        <f t="shared" si="85"/>
        <v>0</v>
      </c>
      <c r="AI41" s="226"/>
      <c r="AJ41" s="226">
        <f t="shared" si="85"/>
        <v>0</v>
      </c>
      <c r="AK41" s="226"/>
      <c r="AL41" s="226">
        <f t="shared" si="85"/>
        <v>0</v>
      </c>
      <c r="AM41" s="226"/>
      <c r="AN41" s="226">
        <f t="shared" si="85"/>
        <v>0</v>
      </c>
      <c r="AO41" s="226"/>
      <c r="AP41" s="226">
        <f t="shared" si="85"/>
        <v>0</v>
      </c>
      <c r="AQ41" s="226"/>
      <c r="AR41" s="226">
        <f t="shared" si="85"/>
        <v>0</v>
      </c>
      <c r="AS41" s="226"/>
      <c r="AT41" s="226">
        <f t="shared" si="85"/>
        <v>0</v>
      </c>
      <c r="AU41" s="226"/>
    </row>
    <row r="42" spans="1:47" x14ac:dyDescent="0.3">
      <c r="B42" s="226">
        <f t="shared" si="86"/>
        <v>0</v>
      </c>
      <c r="C42" s="226">
        <f t="shared" ref="C42:AT43" si="87">C12-C33</f>
        <v>0</v>
      </c>
      <c r="D42" s="226">
        <f t="shared" si="87"/>
        <v>0</v>
      </c>
      <c r="E42" s="226"/>
      <c r="F42" s="226">
        <f t="shared" si="87"/>
        <v>0</v>
      </c>
      <c r="G42" s="226"/>
      <c r="H42" s="226">
        <f t="shared" si="87"/>
        <v>0</v>
      </c>
      <c r="I42" s="226"/>
      <c r="J42" s="226">
        <f t="shared" si="87"/>
        <v>0</v>
      </c>
      <c r="K42" s="226"/>
      <c r="L42" s="226">
        <f t="shared" si="87"/>
        <v>0</v>
      </c>
      <c r="M42" s="226"/>
      <c r="N42" s="226">
        <f t="shared" si="87"/>
        <v>0</v>
      </c>
      <c r="O42" s="226"/>
      <c r="P42" s="226">
        <f t="shared" si="87"/>
        <v>0</v>
      </c>
      <c r="Q42" s="226"/>
      <c r="R42" s="226">
        <f t="shared" si="87"/>
        <v>0</v>
      </c>
      <c r="S42" s="226"/>
      <c r="T42" s="226">
        <f t="shared" si="87"/>
        <v>6</v>
      </c>
      <c r="U42" s="226"/>
      <c r="V42" s="226">
        <f t="shared" si="87"/>
        <v>5</v>
      </c>
      <c r="W42" s="226"/>
      <c r="X42" s="226">
        <f t="shared" si="87"/>
        <v>0</v>
      </c>
      <c r="Y42" s="226"/>
      <c r="Z42" s="226">
        <f t="shared" si="87"/>
        <v>0</v>
      </c>
      <c r="AA42" s="226"/>
      <c r="AB42" s="226">
        <f t="shared" si="87"/>
        <v>0</v>
      </c>
      <c r="AC42" s="226"/>
      <c r="AD42" s="226">
        <f t="shared" si="87"/>
        <v>0</v>
      </c>
      <c r="AE42" s="226"/>
      <c r="AF42" s="226">
        <f t="shared" si="87"/>
        <v>0</v>
      </c>
      <c r="AG42" s="226"/>
      <c r="AH42" s="226">
        <f t="shared" si="87"/>
        <v>0</v>
      </c>
      <c r="AI42" s="226"/>
      <c r="AJ42" s="226">
        <f t="shared" si="87"/>
        <v>0</v>
      </c>
      <c r="AK42" s="226"/>
      <c r="AL42" s="226">
        <f t="shared" si="87"/>
        <v>0</v>
      </c>
      <c r="AM42" s="226"/>
      <c r="AN42" s="226">
        <f t="shared" si="87"/>
        <v>0</v>
      </c>
      <c r="AO42" s="226"/>
      <c r="AP42" s="226">
        <f t="shared" si="87"/>
        <v>0</v>
      </c>
      <c r="AQ42" s="226"/>
      <c r="AR42" s="226">
        <f t="shared" si="87"/>
        <v>0</v>
      </c>
      <c r="AS42" s="226"/>
      <c r="AT42" s="226">
        <f t="shared" si="87"/>
        <v>0</v>
      </c>
      <c r="AU42" s="226"/>
    </row>
    <row r="43" spans="1:47" x14ac:dyDescent="0.3">
      <c r="B43" s="226">
        <f t="shared" si="86"/>
        <v>0</v>
      </c>
      <c r="C43" s="226">
        <f t="shared" si="87"/>
        <v>0</v>
      </c>
      <c r="D43" s="226">
        <f t="shared" si="87"/>
        <v>0</v>
      </c>
      <c r="E43" s="226"/>
      <c r="F43" s="226">
        <f t="shared" si="87"/>
        <v>0</v>
      </c>
      <c r="G43" s="226"/>
      <c r="H43" s="226">
        <f t="shared" si="87"/>
        <v>0</v>
      </c>
      <c r="I43" s="226"/>
      <c r="J43" s="226">
        <f t="shared" si="87"/>
        <v>0</v>
      </c>
      <c r="K43" s="226"/>
      <c r="L43" s="226">
        <f t="shared" si="87"/>
        <v>0</v>
      </c>
      <c r="M43" s="226"/>
      <c r="N43" s="226">
        <f t="shared" si="87"/>
        <v>0</v>
      </c>
      <c r="O43" s="226"/>
      <c r="P43" s="226">
        <f t="shared" si="87"/>
        <v>0</v>
      </c>
      <c r="Q43" s="226"/>
      <c r="R43" s="226">
        <f t="shared" si="87"/>
        <v>0</v>
      </c>
      <c r="S43" s="226"/>
      <c r="T43" s="226">
        <f t="shared" si="87"/>
        <v>0</v>
      </c>
      <c r="U43" s="226"/>
      <c r="V43" s="226">
        <f t="shared" si="87"/>
        <v>0</v>
      </c>
      <c r="W43" s="226"/>
      <c r="X43" s="226">
        <f t="shared" si="87"/>
        <v>0</v>
      </c>
      <c r="Y43" s="226"/>
      <c r="Z43" s="226">
        <f t="shared" si="87"/>
        <v>0</v>
      </c>
      <c r="AA43" s="226"/>
      <c r="AB43" s="226">
        <f t="shared" si="87"/>
        <v>0</v>
      </c>
      <c r="AC43" s="226"/>
      <c r="AD43" s="226">
        <f t="shared" si="87"/>
        <v>0</v>
      </c>
      <c r="AE43" s="226"/>
      <c r="AF43" s="226">
        <f t="shared" si="87"/>
        <v>0</v>
      </c>
      <c r="AG43" s="226"/>
      <c r="AH43" s="226">
        <f t="shared" si="87"/>
        <v>0</v>
      </c>
      <c r="AI43" s="226"/>
      <c r="AJ43" s="226">
        <f t="shared" si="87"/>
        <v>0</v>
      </c>
      <c r="AK43" s="226"/>
      <c r="AL43" s="226">
        <f t="shared" si="87"/>
        <v>0</v>
      </c>
      <c r="AM43" s="226"/>
      <c r="AN43" s="226">
        <f t="shared" si="87"/>
        <v>0</v>
      </c>
      <c r="AO43" s="226"/>
      <c r="AP43" s="226">
        <f t="shared" si="87"/>
        <v>0</v>
      </c>
      <c r="AQ43" s="226"/>
      <c r="AR43" s="226">
        <f t="shared" si="87"/>
        <v>0</v>
      </c>
      <c r="AS43" s="226"/>
      <c r="AT43" s="226">
        <f t="shared" si="87"/>
        <v>0</v>
      </c>
      <c r="AU43" s="226"/>
    </row>
    <row r="44" spans="1:47" x14ac:dyDescent="0.3">
      <c r="B44" s="226"/>
    </row>
    <row r="45" spans="1:47" x14ac:dyDescent="0.3">
      <c r="B45" s="226"/>
    </row>
    <row r="46" spans="1:47" x14ac:dyDescent="0.3">
      <c r="B46" s="226"/>
    </row>
  </sheetData>
  <mergeCells count="69">
    <mergeCell ref="AP25:AQ25"/>
    <mergeCell ref="AR25:AS25"/>
    <mergeCell ref="AT25:AU25"/>
    <mergeCell ref="AF25:AG25"/>
    <mergeCell ref="AH25:AI25"/>
    <mergeCell ref="AJ25:AK25"/>
    <mergeCell ref="AL25:AM25"/>
    <mergeCell ref="AN25:AO25"/>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T24:W24"/>
    <mergeCell ref="X24:AA24"/>
    <mergeCell ref="AB24:AE24"/>
    <mergeCell ref="AF24:AI24"/>
    <mergeCell ref="AJ24:AM24"/>
    <mergeCell ref="B24:C24"/>
    <mergeCell ref="D24:G24"/>
    <mergeCell ref="H24:K24"/>
    <mergeCell ref="L24:O24"/>
    <mergeCell ref="P24:S24"/>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3" customFormat="1" ht="56" x14ac:dyDescent="0.3">
      <c r="A1" s="298" t="s">
        <v>406</v>
      </c>
      <c r="B1" s="298" t="s">
        <v>406</v>
      </c>
      <c r="C1" s="298" t="s">
        <v>166</v>
      </c>
      <c r="D1" s="298" t="s">
        <v>344</v>
      </c>
      <c r="E1" s="298" t="s">
        <v>340</v>
      </c>
      <c r="F1" s="298" t="s">
        <v>352</v>
      </c>
      <c r="G1" s="298" t="s">
        <v>406</v>
      </c>
      <c r="H1" s="298" t="s">
        <v>406</v>
      </c>
    </row>
    <row r="2" spans="1:8" ht="14.5" customHeight="1" x14ac:dyDescent="0.3">
      <c r="A2" s="161">
        <f>'s146'!E13</f>
        <v>1004</v>
      </c>
      <c r="B2" s="161">
        <f>-A2</f>
        <v>-1004</v>
      </c>
      <c r="C2" s="160" t="s">
        <v>175</v>
      </c>
      <c r="D2" t="s">
        <v>321</v>
      </c>
      <c r="E2" s="228" t="str">
        <f>Permits!B4</f>
        <v>Cat 0,1,2 and all T/S streets</v>
      </c>
      <c r="F2" t="s">
        <v>355</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354</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CORPGOV-694211001-258</_dlc_DocId>
    <_dlc_DocIdUrl xmlns="9390b88a-687a-4926-b94c-e3ac1c4de516">
      <Url>https://wessexwater.sharepoint.com/sites/SC0003/F013/_layouts/15/DocIdRedir.aspx?ID=CORPGOV-694211001-258</Url>
      <Description>CORPGOV-694211001-258</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893317c-9bf8-4bcb-b153-30688475ad4b" ContentTypeId="0x010100DEF460391E80A2479A3051B62F5365DD" PreviousValue="false"/>
</file>

<file path=customXml/itemProps1.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2.xml><?xml version="1.0" encoding="utf-8"?>
<ds:datastoreItem xmlns:ds="http://schemas.openxmlformats.org/officeDocument/2006/customXml" ds:itemID="{880AC15B-B7C2-4272-A261-1278B6EDF4C4}">
  <ds:schemaRefs>
    <ds:schemaRef ds:uri="http://schemas.microsoft.com/office/2006/metadata/properties"/>
    <ds:schemaRef ds:uri="d904aef1-6e8f-4269-837b-b3160206d03c"/>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b5a98da-cae3-496a-ade7-6a2c7b00b148"/>
    <ds:schemaRef ds:uri="9390b88a-687a-4926-b94c-e3ac1c4de516"/>
    <ds:schemaRef ds:uri="http://purl.org/dc/elements/1.1/"/>
    <ds:schemaRef ds:uri="138e79af-97e9-467e-b691-fc96845a5065"/>
    <ds:schemaRef ds:uri="http://www.w3.org/XML/1998/namespace"/>
    <ds:schemaRef ds:uri="http://purl.org/dc/dcmitype/"/>
  </ds:schemaRefs>
</ds:datastoreItem>
</file>

<file path=customXml/itemProps3.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5.xml><?xml version="1.0" encoding="utf-8"?>
<ds:datastoreItem xmlns:ds="http://schemas.openxmlformats.org/officeDocument/2006/customXml" ds:itemID="{F3127CC8-6025-409D-98E6-AF35FC422F2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vt: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1cd7930e-3117-46ec-ad59-fc2fc226790c</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