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ssexwater-my.sharepoint.com/personal/will_chivers_wessexwater_co_uk/Documents/Charges/Final documents for publication/Tranche 2/"/>
    </mc:Choice>
  </mc:AlternateContent>
  <xr:revisionPtr revIDLastSave="1" documentId="8_{529F2EC9-6185-4445-B7FC-F848AC18BADE}" xr6:coauthVersionLast="47" xr6:coauthVersionMax="47" xr10:uidLastSave="{202DDC1F-A2B2-4000-B8EA-C2EBDEECC18C}"/>
  <bookViews>
    <workbookView xWindow="5535" yWindow="-16320" windowWidth="29040" windowHeight="15720" xr2:uid="{731E858D-E186-4700-8134-9F7C8A43FE4B}"/>
  </bookViews>
  <sheets>
    <sheet name="Cover sheet" sheetId="14" r:id="rId1"/>
    <sheet name="Instructions" sheetId="16" r:id="rId2"/>
    <sheet name="Inputs NAV" sheetId="13" r:id="rId3"/>
    <sheet name="Summary of inputs" sheetId="1" r:id="rId4"/>
    <sheet name="Charges schedule" sheetId="10" r:id="rId5"/>
    <sheet name="Water calc" sheetId="7" r:id="rId6"/>
    <sheet name="Wastewater calc" sheetId="12" r:id="rId7"/>
    <sheet name="Outputs summary" sheetId="15" r:id="rId8"/>
    <sheet name="Data" sheetId="3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36" i="1"/>
  <c r="C39" i="1" l="1"/>
  <c r="C26" i="13"/>
  <c r="C65" i="12" l="1"/>
  <c r="C55" i="7"/>
  <c r="D1" i="7" l="1"/>
  <c r="C35" i="1" l="1"/>
  <c r="C34" i="1"/>
  <c r="C28" i="1"/>
  <c r="C26" i="1"/>
  <c r="C27" i="1"/>
  <c r="C25" i="1"/>
  <c r="C29" i="1"/>
  <c r="C41" i="1"/>
  <c r="C38" i="1"/>
  <c r="C37" i="1"/>
  <c r="C30" i="1"/>
  <c r="C21" i="1" l="1"/>
  <c r="C17" i="1"/>
  <c r="C12" i="1"/>
  <c r="C13" i="1"/>
  <c r="C7" i="1"/>
  <c r="C8" i="1"/>
  <c r="D3" i="1"/>
  <c r="C3" i="1"/>
  <c r="E1" i="15" l="1"/>
  <c r="D1" i="12"/>
  <c r="C1" i="12"/>
  <c r="B65" i="12"/>
  <c r="A65" i="12"/>
  <c r="B55" i="7"/>
  <c r="A55" i="7"/>
  <c r="B74" i="12"/>
  <c r="A74" i="12"/>
  <c r="B64" i="12"/>
  <c r="C64" i="12"/>
  <c r="A64" i="12"/>
  <c r="B64" i="7"/>
  <c r="A64" i="7"/>
  <c r="C54" i="7"/>
  <c r="B54" i="7"/>
  <c r="A54" i="7"/>
  <c r="C56" i="7" l="1"/>
  <c r="C64" i="7" s="1"/>
  <c r="C66" i="12"/>
  <c r="C74" i="12" s="1"/>
  <c r="A16" i="3" l="1"/>
  <c r="A13" i="3"/>
  <c r="C20" i="1"/>
  <c r="D34" i="1"/>
  <c r="D35" i="1"/>
  <c r="D37" i="1"/>
  <c r="D38" i="1"/>
  <c r="D40" i="1"/>
  <c r="D25" i="1"/>
  <c r="D26" i="1"/>
  <c r="D27" i="1"/>
  <c r="D28" i="1"/>
  <c r="D29" i="1"/>
  <c r="C53" i="12" l="1"/>
  <c r="C43" i="12"/>
  <c r="C39" i="12"/>
  <c r="C38" i="12"/>
  <c r="C24" i="12"/>
  <c r="C14" i="12"/>
  <c r="C10" i="12"/>
  <c r="C9" i="12"/>
  <c r="C1" i="7"/>
  <c r="C9" i="7"/>
  <c r="C33" i="7"/>
  <c r="C43" i="7"/>
  <c r="C19" i="7"/>
  <c r="B97" i="12"/>
  <c r="A97" i="12"/>
  <c r="B95" i="12"/>
  <c r="A95" i="12"/>
  <c r="A59" i="12"/>
  <c r="C6" i="1"/>
  <c r="C11" i="1"/>
  <c r="C16" i="1"/>
  <c r="C36" i="1" s="1"/>
  <c r="C40" i="1" s="1"/>
  <c r="C95" i="12"/>
  <c r="C94" i="12"/>
  <c r="C97" i="12"/>
  <c r="C96" i="12"/>
  <c r="C52" i="12" l="1"/>
  <c r="C98" i="12"/>
  <c r="C100" i="12" s="1"/>
  <c r="C95" i="7"/>
  <c r="C107" i="12" l="1"/>
  <c r="C89" i="7"/>
  <c r="C101" i="12"/>
  <c r="B49" i="7"/>
  <c r="A49" i="7"/>
  <c r="B48" i="7"/>
  <c r="A48" i="7"/>
  <c r="B59" i="12"/>
  <c r="B58" i="12"/>
  <c r="A58" i="12"/>
  <c r="B47" i="12"/>
  <c r="B46" i="12"/>
  <c r="A47" i="12"/>
  <c r="A46" i="12"/>
  <c r="B42" i="12"/>
  <c r="A42" i="12"/>
  <c r="B37" i="12"/>
  <c r="B18" i="12"/>
  <c r="B17" i="12"/>
  <c r="A18" i="12"/>
  <c r="A17" i="12"/>
  <c r="B13" i="12"/>
  <c r="A13" i="12"/>
  <c r="A8" i="12"/>
  <c r="B17" i="15"/>
  <c r="A17" i="15"/>
  <c r="B8" i="15"/>
  <c r="A8" i="15"/>
  <c r="B23" i="15" l="1"/>
  <c r="A22" i="15"/>
  <c r="A23" i="15"/>
  <c r="B22" i="15"/>
  <c r="C37" i="12"/>
  <c r="C40" i="12" s="1"/>
  <c r="C46" i="12" s="1"/>
  <c r="C8" i="12"/>
  <c r="C13" i="12"/>
  <c r="A121" i="12"/>
  <c r="A116" i="12"/>
  <c r="B106" i="12"/>
  <c r="A106" i="12"/>
  <c r="B94" i="7"/>
  <c r="A94" i="7"/>
  <c r="B85" i="7"/>
  <c r="A85" i="7"/>
  <c r="B84" i="7"/>
  <c r="A84" i="7"/>
  <c r="B96" i="12"/>
  <c r="A96" i="12"/>
  <c r="B94" i="12"/>
  <c r="A94" i="12"/>
  <c r="A79" i="12"/>
  <c r="B79" i="12"/>
  <c r="B80" i="12"/>
  <c r="A80" i="12"/>
  <c r="B42" i="7"/>
  <c r="A42" i="7"/>
  <c r="B52" i="12"/>
  <c r="A52" i="12"/>
  <c r="A37" i="12"/>
  <c r="B23" i="12"/>
  <c r="A23" i="12"/>
  <c r="B38" i="7"/>
  <c r="A38" i="7"/>
  <c r="B32" i="7"/>
  <c r="A32" i="7"/>
  <c r="B14" i="7"/>
  <c r="A14" i="7"/>
  <c r="B8" i="7"/>
  <c r="A8" i="7"/>
  <c r="B8" i="12"/>
  <c r="B122" i="12"/>
  <c r="A122" i="12"/>
  <c r="B121" i="12"/>
  <c r="B116" i="12"/>
  <c r="B115" i="12"/>
  <c r="A115" i="12"/>
  <c r="B112" i="12"/>
  <c r="A112" i="12"/>
  <c r="B111" i="12"/>
  <c r="A111" i="12"/>
  <c r="B100" i="12"/>
  <c r="A100" i="12"/>
  <c r="B86" i="12"/>
  <c r="A86" i="12"/>
  <c r="B85" i="12"/>
  <c r="A85" i="12"/>
  <c r="B73" i="12"/>
  <c r="A73" i="12"/>
  <c r="B72" i="12"/>
  <c r="A72" i="12"/>
  <c r="B30" i="12"/>
  <c r="A30" i="12"/>
  <c r="B29" i="12"/>
  <c r="A29" i="12"/>
  <c r="A109" i="7"/>
  <c r="B110" i="7"/>
  <c r="A110" i="7"/>
  <c r="B109" i="7"/>
  <c r="B104" i="7"/>
  <c r="A104" i="7"/>
  <c r="B103" i="7"/>
  <c r="A103" i="7"/>
  <c r="B100" i="7"/>
  <c r="B99" i="7"/>
  <c r="A100" i="7"/>
  <c r="A99" i="7"/>
  <c r="B88" i="7"/>
  <c r="A88" i="7"/>
  <c r="C11" i="12" l="1"/>
  <c r="C17" i="12" s="1"/>
  <c r="C15" i="12"/>
  <c r="C18" i="12" s="1"/>
  <c r="C23" i="12"/>
  <c r="C25" i="12" s="1"/>
  <c r="C54" i="12"/>
  <c r="C42" i="12"/>
  <c r="C44" i="12" s="1"/>
  <c r="C47" i="12" s="1"/>
  <c r="C48" i="12" s="1"/>
  <c r="C58" i="12" s="1"/>
  <c r="C94" i="7"/>
  <c r="C96" i="7" s="1"/>
  <c r="C100" i="7" s="1"/>
  <c r="C85" i="7"/>
  <c r="C106" i="12"/>
  <c r="C108" i="12" s="1"/>
  <c r="C84" i="7"/>
  <c r="C19" i="12" l="1"/>
  <c r="C38" i="7"/>
  <c r="C14" i="7"/>
  <c r="C102" i="12"/>
  <c r="C111" i="12" s="1"/>
  <c r="C14" i="15"/>
  <c r="C59" i="12"/>
  <c r="C60" i="12" s="1"/>
  <c r="D5" i="15"/>
  <c r="C112" i="12"/>
  <c r="D14" i="15"/>
  <c r="C86" i="7"/>
  <c r="C88" i="7" s="1"/>
  <c r="C90" i="7" s="1"/>
  <c r="C99" i="7" s="1"/>
  <c r="C101" i="7" s="1"/>
  <c r="C103" i="7" s="1"/>
  <c r="C32" i="7"/>
  <c r="C80" i="12"/>
  <c r="C79" i="12"/>
  <c r="C8" i="7"/>
  <c r="C30" i="12"/>
  <c r="C29" i="12" l="1"/>
  <c r="C31" i="12" s="1"/>
  <c r="C72" i="12" s="1"/>
  <c r="D4" i="15"/>
  <c r="D13" i="15"/>
  <c r="D15" i="15" s="1"/>
  <c r="D17" i="15" s="1"/>
  <c r="D23" i="15" s="1"/>
  <c r="C73" i="12"/>
  <c r="C113" i="12"/>
  <c r="C115" i="12" s="1"/>
  <c r="C13" i="15"/>
  <c r="C81" i="12"/>
  <c r="C75" i="12" l="1"/>
  <c r="D6" i="15" s="1"/>
  <c r="D8" i="15" s="1"/>
  <c r="D22" i="15" s="1"/>
  <c r="D24" i="15" s="1"/>
  <c r="C15" i="15"/>
  <c r="C17" i="15" s="1"/>
  <c r="C23" i="15" s="1"/>
  <c r="C116" i="12"/>
  <c r="C117" i="12" s="1"/>
  <c r="D18" i="15"/>
  <c r="D9" i="15"/>
  <c r="C86" i="12"/>
  <c r="C85" i="12" l="1"/>
  <c r="C87" i="12" s="1"/>
  <c r="C122" i="12"/>
  <c r="D19" i="15"/>
  <c r="B70" i="7"/>
  <c r="A70" i="7"/>
  <c r="A69" i="7"/>
  <c r="C34" i="7"/>
  <c r="C48" i="7" s="1"/>
  <c r="B63" i="7"/>
  <c r="A63" i="7"/>
  <c r="C39" i="7"/>
  <c r="C40" i="7" s="1"/>
  <c r="D10" i="15" l="1"/>
  <c r="C121" i="12"/>
  <c r="C123" i="12" s="1"/>
  <c r="D26" i="15" s="1"/>
  <c r="B76" i="7"/>
  <c r="A76" i="7"/>
  <c r="B75" i="7"/>
  <c r="A75" i="7"/>
  <c r="B69" i="7"/>
  <c r="B62" i="7"/>
  <c r="A62" i="7"/>
  <c r="C15" i="7"/>
  <c r="B25" i="7"/>
  <c r="A25" i="7"/>
  <c r="B24" i="7"/>
  <c r="A24" i="7"/>
  <c r="C16" i="7" l="1"/>
  <c r="C18" i="7" s="1"/>
  <c r="C20" i="7" s="1"/>
  <c r="C25" i="7" s="1"/>
  <c r="C70" i="7"/>
  <c r="C42" i="7"/>
  <c r="C44" i="7" s="1"/>
  <c r="B18" i="7"/>
  <c r="A18" i="7"/>
  <c r="C49" i="7" l="1"/>
  <c r="C50" i="7" s="1"/>
  <c r="C10" i="7"/>
  <c r="C4" i="15" s="1"/>
  <c r="C24" i="7" l="1"/>
  <c r="C5" i="15" l="1"/>
  <c r="C69" i="7"/>
  <c r="C71" i="7" s="1"/>
  <c r="C76" i="7" l="1"/>
  <c r="C104" i="7"/>
  <c r="C105" i="7" s="1"/>
  <c r="C18" i="15"/>
  <c r="C9" i="15"/>
  <c r="C63" i="7"/>
  <c r="C26" i="7" l="1"/>
  <c r="C110" i="7"/>
  <c r="C19" i="15"/>
  <c r="C62" i="7" l="1"/>
  <c r="C65" i="7" l="1"/>
  <c r="C75" i="7" s="1"/>
  <c r="C77" i="7" s="1"/>
  <c r="C109" i="7" s="1"/>
  <c r="C6" i="15" l="1"/>
  <c r="C8" i="15" s="1"/>
  <c r="C22" i="15" s="1"/>
  <c r="C24" i="15" s="1"/>
  <c r="C111" i="7"/>
  <c r="C26" i="15" s="1"/>
  <c r="C10" i="15"/>
</calcChain>
</file>

<file path=xl/sharedStrings.xml><?xml version="1.0" encoding="utf-8"?>
<sst xmlns="http://schemas.openxmlformats.org/spreadsheetml/2006/main" count="426" uniqueCount="195">
  <si>
    <t>Cover sheet</t>
  </si>
  <si>
    <t xml:space="preserve">Note: This calculator is designed to give an indication of the charges at a NAV site. Charges will be applied by Wessex Water in line with Company Bulk Charges for NAVs policies. </t>
  </si>
  <si>
    <t>Key</t>
  </si>
  <si>
    <t>Input cell</t>
  </si>
  <si>
    <t>Version history</t>
  </si>
  <si>
    <t>Version number</t>
  </si>
  <si>
    <t>Version name</t>
  </si>
  <si>
    <t>Publication date</t>
  </si>
  <si>
    <t>Indicative charges 2023-24</t>
  </si>
  <si>
    <t xml:space="preserve">Final charges 2023-24 </t>
  </si>
  <si>
    <t>Final charges 2023-24 - usability updates</t>
  </si>
  <si>
    <t>Indicative charges 2024-25</t>
  </si>
  <si>
    <t>Final charges 2024-25</t>
  </si>
  <si>
    <t>Indicative charges 2025-26</t>
  </si>
  <si>
    <t>Further information</t>
  </si>
  <si>
    <t>Further information and associated bulk charges for NAVs documents can be found on our website at the following links:</t>
  </si>
  <si>
    <t xml:space="preserve">https://corporate.wessexwater.co.uk/our-performance/our-charges </t>
  </si>
  <si>
    <t>https://www.wessexwater.co.uk/services/building-and-developing/new-appointments-and-variations</t>
  </si>
  <si>
    <t>Instructions</t>
  </si>
  <si>
    <t xml:space="preserve">1) Familiarise yourself with the sheets in the spreadsheet. The only sheet that requires any input is "Inputs NAV". </t>
  </si>
  <si>
    <t>2) Answer the questions at the top of the "Inputs NAV" sheet.</t>
  </si>
  <si>
    <t>3) The calculator will grey out any inputs that are not required based upon your answers.</t>
  </si>
  <si>
    <t>4) Certain inputs are required as a minimum to use the calculator - enter these (use the notes in the sheet to help if needed). If only a wastewater service is provided but wastewater volume is not known - we will still need a water volume for the site to calculate wastewater volume.</t>
  </si>
  <si>
    <t>5) Inputs are summarised in the "Summary of inputs" sheet - directly from Inputs NAV and applying leakage and return to sewer adjustments if needed for wastewater volume.</t>
  </si>
  <si>
    <t>6) The Summary of inputs feed into the relevant calc sheet.</t>
  </si>
  <si>
    <t>7) Check over the relevant sheets.</t>
  </si>
  <si>
    <t>8) The "Outputs summary" sheet summarises the charges, avoided costs and final NAV tariff.</t>
  </si>
  <si>
    <t>9) The "Bulk charges for NAVs method statement" document gives an example if you need further guidance - this document along with this calculator can be found on our website here: https://corporate.wessexwater.co.uk/our-performance/our-charges.</t>
  </si>
  <si>
    <t>Assumptions</t>
  </si>
  <si>
    <t xml:space="preserve">With reference to item 4 if wastewater volume is not known, the calculator will provide a forecast using water volume with the leakage adjustment (5.5%) deducted and the return to sewer percentage (95%) applied. </t>
  </si>
  <si>
    <t>If you provide wastewater volume for a site we do need not apply the leakage adjustment or return to sewer percentage.</t>
  </si>
  <si>
    <t>If you have a water booster or sewerage pumping station but do not know the utilised capacity, an estimate based upon the water or wastewater volume on site will be used.</t>
  </si>
  <si>
    <t>Inputs NAV</t>
  </si>
  <si>
    <t>Site information</t>
  </si>
  <si>
    <t>Unit</t>
  </si>
  <si>
    <t>Value</t>
  </si>
  <si>
    <t>Notes</t>
  </si>
  <si>
    <t>Which of the following water services does the NAV provide on site?</t>
  </si>
  <si>
    <t>Water household service</t>
  </si>
  <si>
    <t>Yes</t>
  </si>
  <si>
    <t>Water non-household service</t>
  </si>
  <si>
    <t>Water booster pumping station</t>
  </si>
  <si>
    <t>Which of the following wastewater services does the NAV provide on site?</t>
  </si>
  <si>
    <t>Wastewater household service</t>
  </si>
  <si>
    <t>Wastewater non-household service</t>
  </si>
  <si>
    <t>Sewerage pumping station</t>
  </si>
  <si>
    <t>Do you know the wastewater discharge volume on site?</t>
  </si>
  <si>
    <t>Wastewater household</t>
  </si>
  <si>
    <t>No</t>
  </si>
  <si>
    <t xml:space="preserve">If you do not have a wastewater volume we will need a water volume to calculate wastewater volume. </t>
  </si>
  <si>
    <t>Wastewater non-household</t>
  </si>
  <si>
    <t>If you do not have a wastewater volume we will need a water volume to calculate wastewater volume.</t>
  </si>
  <si>
    <t>Do you know the utilised capacity of the pumping station on site?</t>
  </si>
  <si>
    <t>If you do not know the utilised capacity of the pumping station this will be estimated based on property numbers on site.</t>
  </si>
  <si>
    <t>Water</t>
  </si>
  <si>
    <t>Household properties</t>
  </si>
  <si>
    <t>nr</t>
  </si>
  <si>
    <t xml:space="preserve">Household volume per year </t>
  </si>
  <si>
    <t>m³</t>
  </si>
  <si>
    <t>If you do not have a wastewater volume we will need a water volume to calculate wastewater volume. The leakage adjustment (5.5%) is applied later.</t>
  </si>
  <si>
    <t>Non-household properties</t>
  </si>
  <si>
    <t>Non-household volume per year</t>
  </si>
  <si>
    <t>Utilised capacity of water booster pumping stations</t>
  </si>
  <si>
    <t>kW</t>
  </si>
  <si>
    <t>Bulk meters</t>
  </si>
  <si>
    <t>If you have one bulk meter that measures volumes for water and wastewater, only include one on water - leave wastewater as zero because each bulk meter will be charged separately.</t>
  </si>
  <si>
    <t>Wastewater</t>
  </si>
  <si>
    <t>Household properties connected for Surface Water Drainage</t>
  </si>
  <si>
    <t>If you offer this service you will need to populate this input (even if you have already populated the corresponding water properties).</t>
  </si>
  <si>
    <t>Household properties not connected for Surface Water Drainage</t>
  </si>
  <si>
    <t>Household discharged volume per year</t>
  </si>
  <si>
    <t>Non-household properties connected for Surface Water Drainage</t>
  </si>
  <si>
    <t>Non-household properties not connected for Surface Water Drainage</t>
  </si>
  <si>
    <t>Non-household discharged volume per year</t>
  </si>
  <si>
    <t>Utilised capacity of sewerage pumping stations</t>
  </si>
  <si>
    <t>Summary of inputs</t>
  </si>
  <si>
    <t>Charges schedule</t>
  </si>
  <si>
    <t>Household wholesale charges - to inform wholesale starting point</t>
  </si>
  <si>
    <t xml:space="preserve">Water </t>
  </si>
  <si>
    <t>Description</t>
  </si>
  <si>
    <t>Charge</t>
  </si>
  <si>
    <t>Meter Charge*</t>
  </si>
  <si>
    <t>£ per annum</t>
  </si>
  <si>
    <t>Volume Charge</t>
  </si>
  <si>
    <t>£ per m³</t>
  </si>
  <si>
    <t>Foul</t>
  </si>
  <si>
    <t>Surface Water Drainage**</t>
  </si>
  <si>
    <t>Highway Drainage</t>
  </si>
  <si>
    <t>Drainage Charge*</t>
  </si>
  <si>
    <t>*For the purposes of simplicity when charging we make the assumption that all meters are the size of a standard meter of &lt;25mm.</t>
  </si>
  <si>
    <t>**Only payable where the property is connected for Surface Water Drainage</t>
  </si>
  <si>
    <t>Non-household wholesale charges - to inform wholesale starting point</t>
  </si>
  <si>
    <t>Bulk meter charges - to inform wholesale starting point</t>
  </si>
  <si>
    <t>Bulk meter charge</t>
  </si>
  <si>
    <t>£ per meter</t>
  </si>
  <si>
    <t>Summary avoided costs</t>
  </si>
  <si>
    <t>Avoided cost</t>
  </si>
  <si>
    <t>Sewerage</t>
  </si>
  <si>
    <t>Surface Water Drainage</t>
  </si>
  <si>
    <t>Main pipes, wastewater sewers, communication pipes &amp; meters</t>
  </si>
  <si>
    <t>Avoided direct operational costs</t>
  </si>
  <si>
    <t>£ per property</t>
  </si>
  <si>
    <t>Avoided direct capital maintenance costs</t>
  </si>
  <si>
    <t>Allowed return</t>
  </si>
  <si>
    <t xml:space="preserve">Total avoided cost </t>
  </si>
  <si>
    <t xml:space="preserve">Pumping Stations </t>
  </si>
  <si>
    <t>£ per kW</t>
  </si>
  <si>
    <t>Note: allowed return includes working capital adjustment</t>
  </si>
  <si>
    <t>Water calc</t>
  </si>
  <si>
    <t>Weighted average wholesale tariff</t>
  </si>
  <si>
    <t>Household</t>
  </si>
  <si>
    <t>Fixed charges</t>
  </si>
  <si>
    <t>Meter Charge</t>
  </si>
  <si>
    <t>Total fixed charge household</t>
  </si>
  <si>
    <t>£</t>
  </si>
  <si>
    <t>Volumetric charges</t>
  </si>
  <si>
    <t>Leakage adjustment</t>
  </si>
  <si>
    <t>%</t>
  </si>
  <si>
    <t>Total water volume after leakage household</t>
  </si>
  <si>
    <t>Volumetric charge household</t>
  </si>
  <si>
    <t>Total volumetric charge household</t>
  </si>
  <si>
    <t>Summary charges household</t>
  </si>
  <si>
    <t>Total water charges household</t>
  </si>
  <si>
    <t>Non-household</t>
  </si>
  <si>
    <t>Total fixed charge non-household</t>
  </si>
  <si>
    <t>Total water volume after leakage non-household</t>
  </si>
  <si>
    <t>Volumetric charge non-household</t>
  </si>
  <si>
    <t>Total volumetric charge non-household</t>
  </si>
  <si>
    <t>Summary charges non-household</t>
  </si>
  <si>
    <t>Total water charges non-household</t>
  </si>
  <si>
    <t>Bulk meter charges</t>
  </si>
  <si>
    <t>Total water bulk meter charges</t>
  </si>
  <si>
    <t>Summary weighted average wholesale tariff</t>
  </si>
  <si>
    <t>Charges summary</t>
  </si>
  <si>
    <t>Total water charges</t>
  </si>
  <si>
    <t>Volume summary</t>
  </si>
  <si>
    <t>Total water volume after leakage</t>
  </si>
  <si>
    <t>Weighted average wholesale tariff water</t>
  </si>
  <si>
    <t>Avoided costs</t>
  </si>
  <si>
    <t>Mains pipes, communication pipes and meters</t>
  </si>
  <si>
    <t>Total properties</t>
  </si>
  <si>
    <t>Avoided cost mains pipes, communication pipes and meters</t>
  </si>
  <si>
    <t>Total avoided cost mains pipes, meters and communication pipes</t>
  </si>
  <si>
    <t>Booster pumping stations</t>
  </si>
  <si>
    <t>Avoided cost water booster pumping stations</t>
  </si>
  <si>
    <t>Total avoided cost water booster pumping stations</t>
  </si>
  <si>
    <t>Summary avoided costs &amp; volumetric avoided</t>
  </si>
  <si>
    <t>Total avoided costs water</t>
  </si>
  <si>
    <t>Volumetric avoided cost water</t>
  </si>
  <si>
    <t>Final NAV tariff</t>
  </si>
  <si>
    <t>Final NAV tariff water</t>
  </si>
  <si>
    <t>Wastewater calc</t>
  </si>
  <si>
    <t>Surface Water Drainage charge household</t>
  </si>
  <si>
    <t>Highway Drainage charge household</t>
  </si>
  <si>
    <t>Total fixed charge households connected for Surface Water Drainage</t>
  </si>
  <si>
    <t xml:space="preserve">Total fixed charge households not connected for Surface Water Drainage  </t>
  </si>
  <si>
    <t xml:space="preserve">Total fixed charge household </t>
  </si>
  <si>
    <t>Total wastewater charges household</t>
  </si>
  <si>
    <t>Surface Water Drainage charge non-household</t>
  </si>
  <si>
    <t>Highway Drainage charge non-household</t>
  </si>
  <si>
    <t>Total fixed charge non-households connected for Surface Water Drainage</t>
  </si>
  <si>
    <t>Total fixed charge non-households not connected for Surface Water Drainage</t>
  </si>
  <si>
    <t>Total wastewater charges non-household</t>
  </si>
  <si>
    <t>Total wastewater bulk meter charges</t>
  </si>
  <si>
    <t>Total wastewater charges</t>
  </si>
  <si>
    <t>Total wastewater volume discharged</t>
  </si>
  <si>
    <t>Weighted average wholesale tariff wastewater</t>
  </si>
  <si>
    <t>Sewers</t>
  </si>
  <si>
    <t>Avoided cost sewers</t>
  </si>
  <si>
    <t>Total avoided cost sewers</t>
  </si>
  <si>
    <t>Pumping stations</t>
  </si>
  <si>
    <t>Avoided cost sewerage pumping stations</t>
  </si>
  <si>
    <t>Total avoided cost sewerage pumping stations</t>
  </si>
  <si>
    <t>Total avoided costs wastewater</t>
  </si>
  <si>
    <t>Volumetric avoided cost wastewater</t>
  </si>
  <si>
    <t>Final NAV tariff wastewater</t>
  </si>
  <si>
    <t>Outputs summary</t>
  </si>
  <si>
    <t>Weighted average wholesale charge</t>
  </si>
  <si>
    <t>Total wholesale fixed charge</t>
  </si>
  <si>
    <t>Total wholesale volume charge</t>
  </si>
  <si>
    <t>Total wholesale charge</t>
  </si>
  <si>
    <t>Total volume (after leakage adjustment)</t>
  </si>
  <si>
    <t xml:space="preserve">Avoided costs - main pipes, wastewater sewers, communication pipes &amp; meters </t>
  </si>
  <si>
    <t>Avoided costs - pumping stations</t>
  </si>
  <si>
    <t>Total avoided costs</t>
  </si>
  <si>
    <t>Expected charge for the site</t>
  </si>
  <si>
    <t>Expected NAV charge for the site</t>
  </si>
  <si>
    <t>This is how much we expect to charge the NAV for the site based on the numbers input to the calculator</t>
  </si>
  <si>
    <t>Our final charge is on a £ per m³ basis</t>
  </si>
  <si>
    <t>Answers</t>
  </si>
  <si>
    <t>Standard return to sewer</t>
  </si>
  <si>
    <t>Water booster pumping station assumed capacity m³</t>
  </si>
  <si>
    <t>Sewerage pumping station assumed capacity per m³</t>
  </si>
  <si>
    <t>Final charges 2025-26</t>
  </si>
  <si>
    <t>This calculator is designed for a typical NAV site and may not be cover all possibilities. Please do not hesitate to get in touch with if us if you need any assistance: wholesalefinance@wessexwater.co.uk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</si>
</sst>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0.0000"/>
    <numFmt numFmtId="167" formatCode="_-* #,##0.0000_-;\-* #,##0.0000_-;_-* &quot;-&quot;??_-;_-@_-"/>
    <numFmt numFmtId="168" formatCode="0.0"/>
    <numFmt numFmtId="169" formatCode="0.000000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u/>
      <sz val="11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.5"/>
      <color theme="1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1" tint="0.499984740745262"/>
      <name val="Arial"/>
      <family val="2"/>
    </font>
    <font>
      <sz val="11"/>
      <color theme="2" tint="-0.249977111117893"/>
      <name val="Arial"/>
      <family val="2"/>
    </font>
    <font>
      <u/>
      <sz val="11"/>
      <color theme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4" fillId="0" borderId="0" xfId="0" applyFont="1"/>
    <xf numFmtId="164" fontId="0" fillId="0" borderId="0" xfId="1" applyNumberFormat="1" applyFont="1"/>
    <xf numFmtId="0" fontId="8" fillId="0" borderId="0" xfId="0" applyFont="1"/>
    <xf numFmtId="0" fontId="9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/>
    <xf numFmtId="3" fontId="0" fillId="4" borderId="0" xfId="0" applyNumberFormat="1" applyFill="1" applyAlignment="1">
      <alignment horizontal="center"/>
    </xf>
    <xf numFmtId="0" fontId="10" fillId="4" borderId="0" xfId="4" applyFont="1" applyFill="1" applyAlignment="1">
      <alignment vertical="center" wrapText="1"/>
    </xf>
    <xf numFmtId="10" fontId="0" fillId="0" borderId="0" xfId="0" applyNumberFormat="1"/>
    <xf numFmtId="166" fontId="0" fillId="0" borderId="0" xfId="0" applyNumberFormat="1"/>
    <xf numFmtId="3" fontId="0" fillId="0" borderId="0" xfId="0" applyNumberFormat="1"/>
    <xf numFmtId="0" fontId="8" fillId="7" borderId="0" xfId="0" applyFont="1" applyFill="1"/>
    <xf numFmtId="0" fontId="0" fillId="7" borderId="0" xfId="0" applyFill="1"/>
    <xf numFmtId="0" fontId="4" fillId="8" borderId="0" xfId="0" applyFont="1" applyFill="1"/>
    <xf numFmtId="0" fontId="0" fillId="8" borderId="0" xfId="0" applyFill="1"/>
    <xf numFmtId="0" fontId="0" fillId="0" borderId="1" xfId="0" applyBorder="1"/>
    <xf numFmtId="164" fontId="0" fillId="0" borderId="1" xfId="1" applyNumberFormat="1" applyFont="1" applyBorder="1"/>
    <xf numFmtId="164" fontId="0" fillId="0" borderId="0" xfId="1" applyNumberFormat="1" applyFont="1" applyBorder="1"/>
    <xf numFmtId="164" fontId="0" fillId="0" borderId="1" xfId="0" applyNumberFormat="1" applyBorder="1"/>
    <xf numFmtId="0" fontId="0" fillId="0" borderId="2" xfId="0" applyBorder="1"/>
    <xf numFmtId="164" fontId="0" fillId="0" borderId="2" xfId="1" applyNumberFormat="1" applyFont="1" applyBorder="1"/>
    <xf numFmtId="0" fontId="0" fillId="9" borderId="0" xfId="0" applyFill="1"/>
    <xf numFmtId="0" fontId="0" fillId="10" borderId="0" xfId="0" applyFill="1"/>
    <xf numFmtId="0" fontId="2" fillId="9" borderId="0" xfId="0" applyFont="1" applyFill="1"/>
    <xf numFmtId="0" fontId="13" fillId="4" borderId="0" xfId="0" applyFont="1" applyFill="1" applyAlignment="1">
      <alignment horizontal="left"/>
    </xf>
    <xf numFmtId="43" fontId="0" fillId="0" borderId="0" xfId="1" applyFont="1"/>
    <xf numFmtId="164" fontId="0" fillId="0" borderId="0" xfId="0" applyNumberFormat="1"/>
    <xf numFmtId="43" fontId="0" fillId="0" borderId="0" xfId="0" applyNumberFormat="1"/>
    <xf numFmtId="0" fontId="2" fillId="11" borderId="0" xfId="0" applyFont="1" applyFill="1"/>
    <xf numFmtId="43" fontId="0" fillId="0" borderId="1" xfId="0" applyNumberFormat="1" applyBorder="1"/>
    <xf numFmtId="43" fontId="0" fillId="0" borderId="2" xfId="0" applyNumberFormat="1" applyBorder="1"/>
    <xf numFmtId="167" fontId="0" fillId="0" borderId="2" xfId="1" applyNumberFormat="1" applyFont="1" applyBorder="1"/>
    <xf numFmtId="9" fontId="0" fillId="0" borderId="0" xfId="0" applyNumberFormat="1"/>
    <xf numFmtId="0" fontId="0" fillId="12" borderId="0" xfId="0" applyFill="1"/>
    <xf numFmtId="164" fontId="0" fillId="12" borderId="0" xfId="1" applyNumberFormat="1" applyFont="1" applyFill="1"/>
    <xf numFmtId="167" fontId="0" fillId="0" borderId="0" xfId="1" applyNumberFormat="1" applyFont="1"/>
    <xf numFmtId="0" fontId="0" fillId="0" borderId="0" xfId="0" applyAlignment="1">
      <alignment horizontal="left" wrapText="1"/>
    </xf>
    <xf numFmtId="0" fontId="2" fillId="0" borderId="3" xfId="0" applyFont="1" applyBorder="1" applyAlignment="1">
      <alignment wrapText="1"/>
    </xf>
    <xf numFmtId="164" fontId="0" fillId="7" borderId="0" xfId="1" applyNumberFormat="1" applyFont="1" applyFill="1"/>
    <xf numFmtId="164" fontId="0" fillId="7" borderId="0" xfId="0" applyNumberFormat="1" applyFill="1"/>
    <xf numFmtId="0" fontId="0" fillId="13" borderId="0" xfId="0" applyFill="1"/>
    <xf numFmtId="164" fontId="0" fillId="13" borderId="0" xfId="1" applyNumberFormat="1" applyFont="1" applyFill="1"/>
    <xf numFmtId="164" fontId="0" fillId="13" borderId="0" xfId="0" applyNumberFormat="1" applyFill="1"/>
    <xf numFmtId="0" fontId="2" fillId="10" borderId="0" xfId="0" applyFont="1" applyFill="1"/>
    <xf numFmtId="3" fontId="12" fillId="4" borderId="0" xfId="3" applyNumberFormat="1" applyFont="1" applyFill="1" applyAlignment="1">
      <alignment vertical="top" wrapText="1"/>
    </xf>
    <xf numFmtId="0" fontId="0" fillId="0" borderId="0" xfId="0" applyAlignment="1">
      <alignment wrapText="1"/>
    </xf>
    <xf numFmtId="0" fontId="9" fillId="0" borderId="0" xfId="0" applyFont="1"/>
    <xf numFmtId="0" fontId="8" fillId="8" borderId="0" xfId="0" applyFont="1" applyFill="1"/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wrapText="1"/>
    </xf>
    <xf numFmtId="168" fontId="0" fillId="0" borderId="3" xfId="0" applyNumberFormat="1" applyBorder="1" applyAlignment="1">
      <alignment wrapText="1"/>
    </xf>
    <xf numFmtId="3" fontId="12" fillId="4" borderId="0" xfId="3" applyNumberFormat="1" applyFont="1" applyFill="1" applyAlignment="1">
      <alignment vertical="top"/>
    </xf>
    <xf numFmtId="3" fontId="12" fillId="4" borderId="0" xfId="3" applyNumberFormat="1" applyFont="1" applyFill="1" applyAlignment="1">
      <alignment horizontal="left" vertical="top" wrapText="1"/>
    </xf>
    <xf numFmtId="0" fontId="8" fillId="4" borderId="0" xfId="4" applyFont="1" applyFill="1" applyAlignment="1">
      <alignment vertical="center"/>
    </xf>
    <xf numFmtId="0" fontId="13" fillId="4" borderId="0" xfId="0" applyFont="1" applyFill="1"/>
    <xf numFmtId="0" fontId="0" fillId="0" borderId="4" xfId="0" applyBorder="1"/>
    <xf numFmtId="167" fontId="0" fillId="7" borderId="4" xfId="1" applyNumberFormat="1" applyFont="1" applyFill="1" applyBorder="1"/>
    <xf numFmtId="167" fontId="0" fillId="13" borderId="4" xfId="1" applyNumberFormat="1" applyFont="1" applyFill="1" applyBorder="1"/>
    <xf numFmtId="0" fontId="2" fillId="0" borderId="2" xfId="0" applyFont="1" applyBorder="1"/>
    <xf numFmtId="167" fontId="2" fillId="7" borderId="2" xfId="1" applyNumberFormat="1" applyFont="1" applyFill="1" applyBorder="1"/>
    <xf numFmtId="167" fontId="2" fillId="13" borderId="2" xfId="1" applyNumberFormat="1" applyFont="1" applyFill="1" applyBorder="1"/>
    <xf numFmtId="168" fontId="2" fillId="0" borderId="3" xfId="0" applyNumberFormat="1" applyFont="1" applyBorder="1"/>
    <xf numFmtId="3" fontId="7" fillId="4" borderId="3" xfId="3" applyNumberFormat="1" applyFont="1" applyFill="1" applyBorder="1" applyAlignment="1">
      <alignment horizontal="left" vertical="center"/>
    </xf>
    <xf numFmtId="3" fontId="1" fillId="5" borderId="3" xfId="0" applyNumberFormat="1" applyFont="1" applyFill="1" applyBorder="1" applyAlignment="1">
      <alignment horizontal="center" vertical="center" wrapText="1"/>
    </xf>
    <xf numFmtId="165" fontId="1" fillId="5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vertical="center" wrapText="1"/>
    </xf>
    <xf numFmtId="0" fontId="0" fillId="6" borderId="3" xfId="3" applyFont="1" applyFill="1" applyBorder="1" applyAlignment="1">
      <alignment horizontal="center"/>
    </xf>
    <xf numFmtId="0" fontId="0" fillId="6" borderId="3" xfId="3" applyFont="1" applyFill="1" applyBorder="1"/>
    <xf numFmtId="0" fontId="9" fillId="7" borderId="7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vertical="center" wrapText="1"/>
    </xf>
    <xf numFmtId="165" fontId="7" fillId="4" borderId="3" xfId="3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top" wrapText="1"/>
    </xf>
    <xf numFmtId="0" fontId="11" fillId="5" borderId="3" xfId="0" applyFont="1" applyFill="1" applyBorder="1" applyAlignment="1">
      <alignment vertical="top" wrapText="1"/>
    </xf>
    <xf numFmtId="3" fontId="12" fillId="4" borderId="9" xfId="3" applyNumberFormat="1" applyFont="1" applyFill="1" applyBorder="1" applyAlignment="1">
      <alignment vertical="top"/>
    </xf>
    <xf numFmtId="3" fontId="12" fillId="4" borderId="0" xfId="3" applyNumberFormat="1" applyFont="1" applyFill="1" applyAlignment="1">
      <alignment vertical="center"/>
    </xf>
    <xf numFmtId="3" fontId="12" fillId="4" borderId="9" xfId="3" applyNumberFormat="1" applyFont="1" applyFill="1" applyBorder="1" applyAlignment="1">
      <alignment vertical="center"/>
    </xf>
    <xf numFmtId="0" fontId="2" fillId="7" borderId="3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wrapText="1"/>
    </xf>
    <xf numFmtId="0" fontId="0" fillId="4" borderId="3" xfId="0" applyFill="1" applyBorder="1"/>
    <xf numFmtId="3" fontId="14" fillId="4" borderId="0" xfId="3" applyNumberFormat="1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19" fillId="0" borderId="0" xfId="6"/>
    <xf numFmtId="0" fontId="16" fillId="0" borderId="0" xfId="0" applyFont="1"/>
    <xf numFmtId="168" fontId="0" fillId="0" borderId="3" xfId="0" applyNumberFormat="1" applyBorder="1"/>
    <xf numFmtId="14" fontId="0" fillId="0" borderId="3" xfId="0" applyNumberFormat="1" applyBorder="1"/>
    <xf numFmtId="169" fontId="0" fillId="0" borderId="0" xfId="0" applyNumberFormat="1"/>
    <xf numFmtId="2" fontId="0" fillId="0" borderId="0" xfId="0" applyNumberFormat="1"/>
    <xf numFmtId="164" fontId="0" fillId="7" borderId="4" xfId="1" applyNumberFormat="1" applyFont="1" applyFill="1" applyBorder="1"/>
    <xf numFmtId="164" fontId="0" fillId="13" borderId="4" xfId="1" applyNumberFormat="1" applyFont="1" applyFill="1" applyBorder="1"/>
    <xf numFmtId="10" fontId="0" fillId="4" borderId="0" xfId="7" applyNumberFormat="1" applyFont="1" applyFill="1" applyAlignment="1">
      <alignment horizontal="center"/>
    </xf>
    <xf numFmtId="3" fontId="0" fillId="4" borderId="0" xfId="0" applyNumberFormat="1" applyFill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9" fontId="0" fillId="4" borderId="0" xfId="7" applyFont="1" applyFill="1" applyAlignment="1">
      <alignment horizontal="center"/>
    </xf>
    <xf numFmtId="3" fontId="0" fillId="0" borderId="2" xfId="0" applyNumberFormat="1" applyBorder="1"/>
    <xf numFmtId="0" fontId="2" fillId="11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7" borderId="0" xfId="0" applyFont="1" applyFill="1"/>
    <xf numFmtId="164" fontId="2" fillId="13" borderId="0" xfId="1" applyNumberFormat="1" applyFont="1" applyFill="1"/>
    <xf numFmtId="14" fontId="2" fillId="0" borderId="3" xfId="0" applyNumberFormat="1" applyFont="1" applyBorder="1"/>
    <xf numFmtId="3" fontId="13" fillId="4" borderId="0" xfId="0" applyNumberFormat="1" applyFont="1" applyFill="1" applyAlignment="1">
      <alignment horizontal="left"/>
    </xf>
    <xf numFmtId="0" fontId="9" fillId="7" borderId="3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 vertical="center" wrapText="1"/>
    </xf>
    <xf numFmtId="168" fontId="0" fillId="0" borderId="3" xfId="0" applyNumberFormat="1" applyFont="1" applyBorder="1"/>
    <xf numFmtId="0" fontId="0" fillId="0" borderId="3" xfId="0" applyFont="1" applyBorder="1" applyAlignment="1">
      <alignment wrapText="1"/>
    </xf>
    <xf numFmtId="14" fontId="0" fillId="0" borderId="3" xfId="0" applyNumberFormat="1" applyFont="1" applyBorder="1"/>
    <xf numFmtId="3" fontId="13" fillId="4" borderId="0" xfId="0" applyNumberFormat="1" applyFont="1" applyFill="1" applyAlignment="1">
      <alignment horizontal="left"/>
    </xf>
    <xf numFmtId="2" fontId="7" fillId="5" borderId="3" xfId="5" applyNumberFormat="1" applyFont="1" applyFill="1" applyBorder="1" applyAlignment="1">
      <alignment horizontal="center" vertical="center" wrapText="1"/>
    </xf>
    <xf numFmtId="2" fontId="11" fillId="5" borderId="3" xfId="5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 wrapText="1"/>
    </xf>
  </cellXfs>
  <cellStyles count="8">
    <cellStyle name="Comma" xfId="1" builtinId="3"/>
    <cellStyle name="Comma 11 7" xfId="5" xr:uid="{831D10B8-8946-41E0-BFB6-5C063647056C}"/>
    <cellStyle name="Hyperlink" xfId="6" builtinId="8"/>
    <cellStyle name="Normal" xfId="0" builtinId="0"/>
    <cellStyle name="Normal 2 2 4 17" xfId="4" xr:uid="{C6B5ABDE-2EC3-4F49-829A-2C641EEAD7EB}"/>
    <cellStyle name="Normal 2 3" xfId="2" xr:uid="{F6C816B2-1A66-4A58-9718-C30E7C1D6A99}"/>
    <cellStyle name="Normal 2 4" xfId="3" xr:uid="{AAE5CBF9-F47F-40D0-841B-469185B81AF1}"/>
    <cellStyle name="Percent" xfId="7" builtinId="5"/>
  </cellStyles>
  <dxfs count="41"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 patternType="solid">
          <fgColor theme="1" tint="0.499984740745262"/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fgColor theme="0" tint="-0.499984740745262"/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essexwater.co.uk/services/building-and-developing/new-appointments-and-variations" TargetMode="External"/><Relationship Id="rId1" Type="http://schemas.openxmlformats.org/officeDocument/2006/relationships/hyperlink" Target="https://corporate.wessexwater.co.uk/our-performance/our-charg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51B7-FDDA-4C5A-90AD-4D55B39CFA5D}">
  <dimension ref="A1:C25"/>
  <sheetViews>
    <sheetView tabSelected="1" zoomScaleNormal="100" workbookViewId="0">
      <selection activeCell="A28" sqref="A28"/>
    </sheetView>
  </sheetViews>
  <sheetFormatPr defaultRowHeight="14" x14ac:dyDescent="0.3"/>
  <cols>
    <col min="1" max="1" width="13.25" customWidth="1"/>
    <col min="2" max="2" width="41.58203125" customWidth="1"/>
    <col min="3" max="3" width="14.9140625" customWidth="1"/>
    <col min="5" max="7" width="8.6640625" customWidth="1"/>
  </cols>
  <sheetData>
    <row r="1" spans="1:3" x14ac:dyDescent="0.3">
      <c r="A1" s="51" t="s">
        <v>0</v>
      </c>
    </row>
    <row r="3" spans="1:3" x14ac:dyDescent="0.3">
      <c r="A3" s="91" t="s">
        <v>1</v>
      </c>
    </row>
    <row r="5" spans="1:3" x14ac:dyDescent="0.3">
      <c r="A5" s="1" t="s">
        <v>2</v>
      </c>
    </row>
    <row r="7" spans="1:3" x14ac:dyDescent="0.3">
      <c r="A7" s="39"/>
      <c r="B7" t="s">
        <v>3</v>
      </c>
    </row>
    <row r="9" spans="1:3" x14ac:dyDescent="0.3">
      <c r="A9" s="1" t="s">
        <v>4</v>
      </c>
    </row>
    <row r="11" spans="1:3" ht="28" x14ac:dyDescent="0.3">
      <c r="A11" s="42" t="s">
        <v>5</v>
      </c>
      <c r="B11" s="42" t="s">
        <v>6</v>
      </c>
      <c r="C11" s="42" t="s">
        <v>7</v>
      </c>
    </row>
    <row r="12" spans="1:3" ht="14" customHeight="1" x14ac:dyDescent="0.3">
      <c r="A12" s="55">
        <v>1</v>
      </c>
      <c r="B12" s="53" t="s">
        <v>8</v>
      </c>
      <c r="C12" s="54">
        <v>44896</v>
      </c>
    </row>
    <row r="13" spans="1:3" ht="14" customHeight="1" x14ac:dyDescent="0.3">
      <c r="A13" s="92">
        <v>1.1000000000000001</v>
      </c>
      <c r="B13" s="53" t="s">
        <v>9</v>
      </c>
      <c r="C13" s="93">
        <v>44958</v>
      </c>
    </row>
    <row r="14" spans="1:3" ht="14" customHeight="1" x14ac:dyDescent="0.3">
      <c r="A14" s="92">
        <v>1.2</v>
      </c>
      <c r="B14" s="53" t="s">
        <v>10</v>
      </c>
      <c r="C14" s="93">
        <v>44979</v>
      </c>
    </row>
    <row r="15" spans="1:3" ht="14" customHeight="1" x14ac:dyDescent="0.3">
      <c r="A15" s="92">
        <v>1.3</v>
      </c>
      <c r="B15" s="53" t="s">
        <v>11</v>
      </c>
      <c r="C15" s="93">
        <v>45258</v>
      </c>
    </row>
    <row r="16" spans="1:3" ht="14" customHeight="1" x14ac:dyDescent="0.3">
      <c r="A16" s="92">
        <v>2</v>
      </c>
      <c r="B16" s="53" t="s">
        <v>12</v>
      </c>
      <c r="C16" s="93">
        <v>45323</v>
      </c>
    </row>
    <row r="17" spans="1:3" ht="14" customHeight="1" x14ac:dyDescent="0.3">
      <c r="A17" s="115">
        <v>3</v>
      </c>
      <c r="B17" s="116" t="s">
        <v>13</v>
      </c>
      <c r="C17" s="117">
        <v>45624</v>
      </c>
    </row>
    <row r="18" spans="1:3" x14ac:dyDescent="0.3">
      <c r="A18" s="66">
        <v>3.1</v>
      </c>
      <c r="B18" s="42" t="s">
        <v>193</v>
      </c>
      <c r="C18" s="111">
        <v>45687</v>
      </c>
    </row>
    <row r="21" spans="1:3" x14ac:dyDescent="0.3">
      <c r="A21" s="1" t="s">
        <v>14</v>
      </c>
    </row>
    <row r="22" spans="1:3" x14ac:dyDescent="0.3">
      <c r="A22" s="1"/>
    </row>
    <row r="23" spans="1:3" x14ac:dyDescent="0.3">
      <c r="A23" t="s">
        <v>15</v>
      </c>
    </row>
    <row r="24" spans="1:3" x14ac:dyDescent="0.3">
      <c r="A24" s="90" t="s">
        <v>16</v>
      </c>
    </row>
    <row r="25" spans="1:3" x14ac:dyDescent="0.3">
      <c r="A25" s="90" t="s">
        <v>17</v>
      </c>
    </row>
  </sheetData>
  <phoneticPr fontId="5" type="noConversion"/>
  <conditionalFormatting sqref="A7">
    <cfRule type="expression" dxfId="40" priority="1">
      <formula>#REF!="No"</formula>
    </cfRule>
  </conditionalFormatting>
  <hyperlinks>
    <hyperlink ref="A24" r:id="rId1" xr:uid="{BC0EB6A0-B66A-4BB0-AB92-11ED2F42BEE9}"/>
    <hyperlink ref="A25" r:id="rId2" xr:uid="{5592EAB2-8CB4-4D8E-9954-67F1B6418D0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6926-D297-4582-AE90-62EFD183F1BD}">
  <dimension ref="A1:A18"/>
  <sheetViews>
    <sheetView zoomScaleNormal="100" workbookViewId="0">
      <selection activeCell="A18" sqref="A18"/>
    </sheetView>
  </sheetViews>
  <sheetFormatPr defaultRowHeight="14" x14ac:dyDescent="0.3"/>
  <sheetData>
    <row r="1" spans="1:1" x14ac:dyDescent="0.3">
      <c r="A1" s="51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24</v>
      </c>
    </row>
    <row r="9" spans="1:1" x14ac:dyDescent="0.3">
      <c r="A9" t="s">
        <v>25</v>
      </c>
    </row>
    <row r="10" spans="1:1" x14ac:dyDescent="0.3">
      <c r="A10" t="s">
        <v>26</v>
      </c>
    </row>
    <row r="11" spans="1:1" x14ac:dyDescent="0.3">
      <c r="A11" t="s">
        <v>27</v>
      </c>
    </row>
    <row r="13" spans="1:1" x14ac:dyDescent="0.3">
      <c r="A13" s="1" t="s">
        <v>28</v>
      </c>
    </row>
    <row r="15" spans="1:1" x14ac:dyDescent="0.3">
      <c r="A15" t="s">
        <v>29</v>
      </c>
    </row>
    <row r="16" spans="1:1" x14ac:dyDescent="0.3">
      <c r="A16" t="s">
        <v>30</v>
      </c>
    </row>
    <row r="17" spans="1:1" x14ac:dyDescent="0.3">
      <c r="A17" t="s">
        <v>31</v>
      </c>
    </row>
    <row r="18" spans="1:1" x14ac:dyDescent="0.3">
      <c r="A18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DB698-FFA1-41EE-95FE-F4D9AEC718A4}">
  <sheetPr>
    <tabColor theme="7" tint="0.79998168889431442"/>
  </sheetPr>
  <dimension ref="A1:D41"/>
  <sheetViews>
    <sheetView topLeftCell="A7" zoomScale="85" zoomScaleNormal="85" workbookViewId="0">
      <selection activeCell="C6" sqref="C6"/>
    </sheetView>
  </sheetViews>
  <sheetFormatPr defaultRowHeight="14" x14ac:dyDescent="0.3"/>
  <cols>
    <col min="1" max="1" width="72" customWidth="1"/>
    <col min="2" max="2" width="5.6640625" bestFit="1" customWidth="1"/>
    <col min="3" max="3" width="12.58203125" customWidth="1"/>
    <col min="4" max="4" width="20.6640625" customWidth="1"/>
    <col min="5" max="5" width="16.6640625" customWidth="1"/>
    <col min="6" max="6" width="14.1640625" customWidth="1"/>
    <col min="7" max="7" width="15.58203125" customWidth="1"/>
    <col min="8" max="8" width="13.1640625" customWidth="1"/>
  </cols>
  <sheetData>
    <row r="1" spans="1:4" x14ac:dyDescent="0.3">
      <c r="A1" s="51" t="s">
        <v>32</v>
      </c>
    </row>
    <row r="3" spans="1:4" x14ac:dyDescent="0.3">
      <c r="A3" s="33" t="s">
        <v>33</v>
      </c>
      <c r="B3" s="33" t="s">
        <v>34</v>
      </c>
      <c r="C3" s="107" t="s">
        <v>35</v>
      </c>
      <c r="D3" s="107" t="s">
        <v>36</v>
      </c>
    </row>
    <row r="4" spans="1:4" ht="14.5" x14ac:dyDescent="0.35">
      <c r="A4" s="4"/>
      <c r="D4" s="88"/>
    </row>
    <row r="5" spans="1:4" x14ac:dyDescent="0.3">
      <c r="A5" s="1" t="s">
        <v>37</v>
      </c>
      <c r="D5" s="89"/>
    </row>
    <row r="6" spans="1:4" x14ac:dyDescent="0.3">
      <c r="A6" t="s">
        <v>38</v>
      </c>
      <c r="C6" s="38" t="s">
        <v>39</v>
      </c>
    </row>
    <row r="7" spans="1:4" x14ac:dyDescent="0.3">
      <c r="A7" t="s">
        <v>40</v>
      </c>
      <c r="C7" s="38" t="s">
        <v>39</v>
      </c>
    </row>
    <row r="8" spans="1:4" x14ac:dyDescent="0.3">
      <c r="A8" t="s">
        <v>41</v>
      </c>
      <c r="C8" s="38" t="s">
        <v>39</v>
      </c>
    </row>
    <row r="10" spans="1:4" x14ac:dyDescent="0.3">
      <c r="A10" s="1" t="s">
        <v>42</v>
      </c>
    </row>
    <row r="11" spans="1:4" x14ac:dyDescent="0.3">
      <c r="A11" t="s">
        <v>43</v>
      </c>
      <c r="C11" s="38" t="s">
        <v>39</v>
      </c>
    </row>
    <row r="12" spans="1:4" x14ac:dyDescent="0.3">
      <c r="A12" t="s">
        <v>44</v>
      </c>
      <c r="C12" s="38" t="s">
        <v>39</v>
      </c>
    </row>
    <row r="13" spans="1:4" x14ac:dyDescent="0.3">
      <c r="A13" t="s">
        <v>45</v>
      </c>
      <c r="C13" s="38" t="s">
        <v>39</v>
      </c>
    </row>
    <row r="15" spans="1:4" x14ac:dyDescent="0.3">
      <c r="A15" s="1" t="s">
        <v>46</v>
      </c>
    </row>
    <row r="16" spans="1:4" x14ac:dyDescent="0.3">
      <c r="A16" t="s">
        <v>47</v>
      </c>
      <c r="C16" s="38" t="s">
        <v>48</v>
      </c>
      <c r="D16" s="89" t="s">
        <v>49</v>
      </c>
    </row>
    <row r="17" spans="1:4" x14ac:dyDescent="0.3">
      <c r="A17" t="s">
        <v>50</v>
      </c>
      <c r="C17" s="38" t="s">
        <v>48</v>
      </c>
      <c r="D17" s="89" t="s">
        <v>51</v>
      </c>
    </row>
    <row r="19" spans="1:4" x14ac:dyDescent="0.3">
      <c r="A19" s="1" t="s">
        <v>52</v>
      </c>
    </row>
    <row r="20" spans="1:4" x14ac:dyDescent="0.3">
      <c r="A20" t="s">
        <v>41</v>
      </c>
      <c r="C20" s="38" t="s">
        <v>39</v>
      </c>
      <c r="D20" s="89" t="s">
        <v>53</v>
      </c>
    </row>
    <row r="21" spans="1:4" x14ac:dyDescent="0.3">
      <c r="A21" t="s">
        <v>45</v>
      </c>
      <c r="C21" s="38" t="s">
        <v>39</v>
      </c>
      <c r="D21" s="89" t="s">
        <v>53</v>
      </c>
    </row>
    <row r="22" spans="1:4" x14ac:dyDescent="0.3">
      <c r="D22" s="89"/>
    </row>
    <row r="23" spans="1:4" x14ac:dyDescent="0.3">
      <c r="A23" s="2" t="s">
        <v>54</v>
      </c>
      <c r="B23" s="2"/>
      <c r="C23" s="2"/>
      <c r="D23" s="89"/>
    </row>
    <row r="24" spans="1:4" x14ac:dyDescent="0.3">
      <c r="D24" s="89"/>
    </row>
    <row r="25" spans="1:4" x14ac:dyDescent="0.3">
      <c r="A25" t="s">
        <v>55</v>
      </c>
      <c r="B25" t="s">
        <v>56</v>
      </c>
      <c r="C25" s="39">
        <v>400</v>
      </c>
      <c r="D25" s="89"/>
    </row>
    <row r="26" spans="1:4" x14ac:dyDescent="0.3">
      <c r="A26" t="s">
        <v>57</v>
      </c>
      <c r="B26" t="s">
        <v>58</v>
      </c>
      <c r="C26" s="39">
        <f>C25*94.95</f>
        <v>37980</v>
      </c>
      <c r="D26" s="89" t="s">
        <v>59</v>
      </c>
    </row>
    <row r="27" spans="1:4" x14ac:dyDescent="0.3">
      <c r="A27" t="s">
        <v>60</v>
      </c>
      <c r="B27" t="s">
        <v>56</v>
      </c>
      <c r="C27" s="39">
        <v>10</v>
      </c>
      <c r="D27" s="89"/>
    </row>
    <row r="28" spans="1:4" x14ac:dyDescent="0.3">
      <c r="A28" t="s">
        <v>61</v>
      </c>
      <c r="B28" t="s">
        <v>58</v>
      </c>
      <c r="C28" s="39">
        <v>1000</v>
      </c>
      <c r="D28" s="89" t="s">
        <v>59</v>
      </c>
    </row>
    <row r="29" spans="1:4" x14ac:dyDescent="0.3">
      <c r="A29" s="50" t="s">
        <v>62</v>
      </c>
      <c r="B29" t="s">
        <v>63</v>
      </c>
      <c r="C29" s="39">
        <v>5</v>
      </c>
      <c r="D29" s="89"/>
    </row>
    <row r="30" spans="1:4" x14ac:dyDescent="0.3">
      <c r="A30" t="s">
        <v>64</v>
      </c>
      <c r="B30" t="s">
        <v>56</v>
      </c>
      <c r="C30" s="39">
        <v>1</v>
      </c>
      <c r="D30" s="89" t="s">
        <v>65</v>
      </c>
    </row>
    <row r="31" spans="1:4" x14ac:dyDescent="0.3">
      <c r="D31" s="89"/>
    </row>
    <row r="32" spans="1:4" x14ac:dyDescent="0.3">
      <c r="A32" s="3" t="s">
        <v>66</v>
      </c>
      <c r="B32" s="3"/>
      <c r="C32" s="3"/>
      <c r="D32" s="89"/>
    </row>
    <row r="33" spans="1:4" x14ac:dyDescent="0.3">
      <c r="D33" s="89"/>
    </row>
    <row r="34" spans="1:4" x14ac:dyDescent="0.3">
      <c r="A34" t="s">
        <v>67</v>
      </c>
      <c r="B34" t="s">
        <v>56</v>
      </c>
      <c r="C34" s="39"/>
      <c r="D34" s="89" t="s">
        <v>68</v>
      </c>
    </row>
    <row r="35" spans="1:4" x14ac:dyDescent="0.3">
      <c r="A35" t="s">
        <v>69</v>
      </c>
      <c r="B35" t="s">
        <v>56</v>
      </c>
      <c r="C35" s="39">
        <v>400</v>
      </c>
      <c r="D35" s="89" t="s">
        <v>68</v>
      </c>
    </row>
    <row r="36" spans="1:4" x14ac:dyDescent="0.3">
      <c r="A36" t="s">
        <v>70</v>
      </c>
      <c r="B36" t="s">
        <v>58</v>
      </c>
      <c r="C36" s="39">
        <v>4130.9966249999998</v>
      </c>
      <c r="D36" s="89"/>
    </row>
    <row r="37" spans="1:4" x14ac:dyDescent="0.3">
      <c r="A37" t="s">
        <v>71</v>
      </c>
      <c r="B37" t="s">
        <v>56</v>
      </c>
      <c r="C37" s="39">
        <v>0</v>
      </c>
      <c r="D37" s="89" t="s">
        <v>68</v>
      </c>
    </row>
    <row r="38" spans="1:4" x14ac:dyDescent="0.3">
      <c r="A38" t="s">
        <v>72</v>
      </c>
      <c r="B38" t="s">
        <v>56</v>
      </c>
      <c r="C38" s="39">
        <v>10</v>
      </c>
      <c r="D38" s="89" t="s">
        <v>68</v>
      </c>
    </row>
    <row r="39" spans="1:4" x14ac:dyDescent="0.3">
      <c r="A39" t="s">
        <v>73</v>
      </c>
      <c r="B39" t="s">
        <v>58</v>
      </c>
      <c r="C39" s="39">
        <v>0</v>
      </c>
      <c r="D39" s="89"/>
    </row>
    <row r="40" spans="1:4" x14ac:dyDescent="0.3">
      <c r="A40" s="50" t="s">
        <v>74</v>
      </c>
      <c r="B40" t="s">
        <v>63</v>
      </c>
      <c r="C40" s="39">
        <v>10</v>
      </c>
      <c r="D40" s="89"/>
    </row>
    <row r="41" spans="1:4" x14ac:dyDescent="0.3">
      <c r="A41" t="s">
        <v>64</v>
      </c>
      <c r="B41" t="s">
        <v>56</v>
      </c>
      <c r="C41" s="39">
        <v>0</v>
      </c>
      <c r="D41" s="89" t="s">
        <v>65</v>
      </c>
    </row>
  </sheetData>
  <conditionalFormatting sqref="A17:B17">
    <cfRule type="expression" dxfId="39" priority="47">
      <formula>$C$12="No"</formula>
    </cfRule>
  </conditionalFormatting>
  <conditionalFormatting sqref="A36:B36">
    <cfRule type="expression" dxfId="38" priority="54">
      <formula>$C$16="No"</formula>
    </cfRule>
  </conditionalFormatting>
  <conditionalFormatting sqref="A37:B38">
    <cfRule type="expression" dxfId="37" priority="27">
      <formula>$C$12="No"</formula>
    </cfRule>
  </conditionalFormatting>
  <conditionalFormatting sqref="A39:B39">
    <cfRule type="expression" dxfId="36" priority="31">
      <formula>AND($C$6="No",$C$7="No")</formula>
    </cfRule>
    <cfRule type="expression" dxfId="35" priority="53">
      <formula>$C$17="No"</formula>
    </cfRule>
    <cfRule type="expression" dxfId="34" priority="49">
      <formula>$C$12="No"</formula>
    </cfRule>
  </conditionalFormatting>
  <conditionalFormatting sqref="A40:B40">
    <cfRule type="expression" dxfId="33" priority="36">
      <formula>OR($C$13="No",$C$21="No")</formula>
    </cfRule>
  </conditionalFormatting>
  <conditionalFormatting sqref="A16:C16">
    <cfRule type="expression" dxfId="32" priority="48">
      <formula>$C$11="No"</formula>
    </cfRule>
  </conditionalFormatting>
  <conditionalFormatting sqref="A20:C20">
    <cfRule type="expression" dxfId="31" priority="35">
      <formula>$C$8="No"</formula>
    </cfRule>
  </conditionalFormatting>
  <conditionalFormatting sqref="A21:C21">
    <cfRule type="expression" dxfId="30" priority="34">
      <formula>$C$13="No"</formula>
    </cfRule>
  </conditionalFormatting>
  <conditionalFormatting sqref="A25:C25">
    <cfRule type="expression" dxfId="29" priority="60">
      <formula>$C$6="No"</formula>
    </cfRule>
  </conditionalFormatting>
  <conditionalFormatting sqref="A26:C26">
    <cfRule type="expression" dxfId="28" priority="42">
      <formula>AND($C$11="No",$C$6="No")</formula>
    </cfRule>
    <cfRule type="expression" dxfId="27" priority="45">
      <formula>AND($C$16="Yes",$C$6="No")</formula>
    </cfRule>
  </conditionalFormatting>
  <conditionalFormatting sqref="A27:C27">
    <cfRule type="expression" dxfId="26" priority="59">
      <formula>$C$7="No"</formula>
    </cfRule>
  </conditionalFormatting>
  <conditionalFormatting sqref="A28:C28">
    <cfRule type="expression" dxfId="25" priority="43">
      <formula>AND($C$12="No",$C$7="No")</formula>
    </cfRule>
    <cfRule type="expression" dxfId="24" priority="44">
      <formula>AND($C$17="Yes",$C$7="No")</formula>
    </cfRule>
  </conditionalFormatting>
  <conditionalFormatting sqref="A29:C29">
    <cfRule type="expression" dxfId="23" priority="37">
      <formula>OR($C$8="No",$C$20="No")</formula>
    </cfRule>
    <cfRule type="expression" dxfId="22" priority="58">
      <formula>AND($C$6="No",$C$7="No")</formula>
    </cfRule>
  </conditionalFormatting>
  <conditionalFormatting sqref="A34:C36">
    <cfRule type="expression" dxfId="21" priority="51">
      <formula>$C$11="No"</formula>
    </cfRule>
  </conditionalFormatting>
  <conditionalFormatting sqref="C17">
    <cfRule type="expression" dxfId="20" priority="22">
      <formula>$C$8="No"</formula>
    </cfRule>
  </conditionalFormatting>
  <conditionalFormatting sqref="C25">
    <cfRule type="expression" dxfId="19" priority="12">
      <formula>C1="No"</formula>
    </cfRule>
  </conditionalFormatting>
  <conditionalFormatting sqref="C26">
    <cfRule type="expression" dxfId="18" priority="11">
      <formula>C11="No"</formula>
    </cfRule>
  </conditionalFormatting>
  <conditionalFormatting sqref="C27">
    <cfRule type="expression" dxfId="17" priority="10">
      <formula>C2="No"</formula>
    </cfRule>
  </conditionalFormatting>
  <conditionalFormatting sqref="C28">
    <cfRule type="expression" dxfId="16" priority="9">
      <formula>C12="No"</formula>
    </cfRule>
  </conditionalFormatting>
  <conditionalFormatting sqref="C29">
    <cfRule type="expression" dxfId="15" priority="8">
      <formula>OR(C3="No",C19="No")</formula>
    </cfRule>
  </conditionalFormatting>
  <conditionalFormatting sqref="C30">
    <cfRule type="expression" dxfId="14" priority="26">
      <formula>AND($C$16="Yes",$C$6="No")</formula>
    </cfRule>
    <cfRule type="expression" dxfId="13" priority="25">
      <formula>AND($C$11="No",$C$6="No")</formula>
    </cfRule>
  </conditionalFormatting>
  <conditionalFormatting sqref="C34:C36">
    <cfRule type="expression" dxfId="12" priority="5">
      <formula>C$11="No"</formula>
    </cfRule>
    <cfRule type="expression" dxfId="11" priority="7">
      <formula>C14="No"</formula>
    </cfRule>
  </conditionalFormatting>
  <conditionalFormatting sqref="C37">
    <cfRule type="expression" dxfId="10" priority="4">
      <formula>C7="No"</formula>
    </cfRule>
  </conditionalFormatting>
  <conditionalFormatting sqref="C38">
    <cfRule type="expression" dxfId="9" priority="3">
      <formula>C7="No"</formula>
    </cfRule>
  </conditionalFormatting>
  <conditionalFormatting sqref="C39">
    <cfRule type="expression" dxfId="8" priority="2">
      <formula>C7="No"</formula>
    </cfRule>
    <cfRule type="expression" dxfId="7" priority="6">
      <formula>C16="No"</formula>
    </cfRule>
  </conditionalFormatting>
  <conditionalFormatting sqref="C40">
    <cfRule type="expression" dxfId="6" priority="1">
      <formula>OR(C8="No",C20="No")</formula>
    </cfRule>
  </conditionalFormatting>
  <conditionalFormatting sqref="C41">
    <cfRule type="expression" dxfId="5" priority="24">
      <formula>AND($C$16="Yes",$C$6="No")</formula>
    </cfRule>
    <cfRule type="expression" dxfId="4" priority="23">
      <formula>AND($C$11="No",$C$6="No")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41F6DE-C456-4496-AF6F-E8E939442EB7}">
          <x14:formula1>
            <xm:f>Data!$A$3:$A$4</xm:f>
          </x14:formula1>
          <xm:sqref>C16:C17 C11:C13 C20:C21 C6:C8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A92AC-A821-4C4B-9A6D-868068C13AB2}">
  <sheetPr>
    <tabColor theme="0" tint="-0.249977111117893"/>
  </sheetPr>
  <dimension ref="A1:H41"/>
  <sheetViews>
    <sheetView zoomScale="85" zoomScaleNormal="85" workbookViewId="0">
      <selection activeCell="D40" sqref="D40"/>
    </sheetView>
  </sheetViews>
  <sheetFormatPr defaultRowHeight="14" x14ac:dyDescent="0.3"/>
  <cols>
    <col min="1" max="1" width="63.1640625" customWidth="1"/>
    <col min="2" max="2" width="4.5" bestFit="1" customWidth="1"/>
    <col min="3" max="3" width="11.1640625" customWidth="1"/>
    <col min="4" max="4" width="22.6640625" customWidth="1"/>
    <col min="5" max="5" width="20.1640625" customWidth="1"/>
    <col min="6" max="6" width="14.1640625" customWidth="1"/>
    <col min="7" max="7" width="16.6640625" customWidth="1"/>
    <col min="8" max="8" width="16.4140625" customWidth="1"/>
  </cols>
  <sheetData>
    <row r="1" spans="1:8" x14ac:dyDescent="0.3">
      <c r="A1" s="51" t="s">
        <v>75</v>
      </c>
    </row>
    <row r="3" spans="1:8" x14ac:dyDescent="0.3">
      <c r="A3" s="33" t="s">
        <v>33</v>
      </c>
      <c r="B3" s="33" t="s">
        <v>34</v>
      </c>
      <c r="C3" s="107" t="str">
        <f>'Inputs NAV'!C3</f>
        <v>Value</v>
      </c>
      <c r="D3" s="107" t="str">
        <f>'Inputs NAV'!D3</f>
        <v>Notes</v>
      </c>
      <c r="E3" s="108"/>
      <c r="F3" s="108"/>
      <c r="G3" s="108"/>
      <c r="H3" s="108"/>
    </row>
    <row r="4" spans="1:8" ht="14.5" x14ac:dyDescent="0.35">
      <c r="A4" s="4"/>
      <c r="D4" s="89"/>
    </row>
    <row r="5" spans="1:8" x14ac:dyDescent="0.3">
      <c r="A5" s="1" t="s">
        <v>37</v>
      </c>
    </row>
    <row r="6" spans="1:8" x14ac:dyDescent="0.3">
      <c r="A6" t="s">
        <v>38</v>
      </c>
      <c r="C6" t="str">
        <f>'Inputs NAV'!C6</f>
        <v>Yes</v>
      </c>
    </row>
    <row r="7" spans="1:8" x14ac:dyDescent="0.3">
      <c r="A7" t="s">
        <v>40</v>
      </c>
      <c r="C7" t="str">
        <f>'Inputs NAV'!C7</f>
        <v>Yes</v>
      </c>
    </row>
    <row r="8" spans="1:8" x14ac:dyDescent="0.3">
      <c r="A8" t="s">
        <v>41</v>
      </c>
      <c r="C8" t="str">
        <f>'Inputs NAV'!C8</f>
        <v>Yes</v>
      </c>
    </row>
    <row r="10" spans="1:8" x14ac:dyDescent="0.3">
      <c r="A10" s="1" t="s">
        <v>42</v>
      </c>
    </row>
    <row r="11" spans="1:8" x14ac:dyDescent="0.3">
      <c r="A11" t="s">
        <v>43</v>
      </c>
      <c r="C11" t="str">
        <f>'Inputs NAV'!C11</f>
        <v>Yes</v>
      </c>
    </row>
    <row r="12" spans="1:8" x14ac:dyDescent="0.3">
      <c r="A12" t="s">
        <v>44</v>
      </c>
      <c r="C12" t="str">
        <f>'Inputs NAV'!C12</f>
        <v>Yes</v>
      </c>
    </row>
    <row r="13" spans="1:8" x14ac:dyDescent="0.3">
      <c r="A13" t="s">
        <v>45</v>
      </c>
      <c r="C13" t="str">
        <f>'Inputs NAV'!C13</f>
        <v>Yes</v>
      </c>
    </row>
    <row r="15" spans="1:8" x14ac:dyDescent="0.3">
      <c r="A15" s="1" t="s">
        <v>46</v>
      </c>
    </row>
    <row r="16" spans="1:8" x14ac:dyDescent="0.3">
      <c r="A16" t="s">
        <v>47</v>
      </c>
      <c r="C16" t="str">
        <f>'Inputs NAV'!C16</f>
        <v>No</v>
      </c>
    </row>
    <row r="17" spans="1:4" x14ac:dyDescent="0.3">
      <c r="A17" t="s">
        <v>50</v>
      </c>
      <c r="C17" t="str">
        <f>'Inputs NAV'!C17</f>
        <v>No</v>
      </c>
    </row>
    <row r="19" spans="1:4" x14ac:dyDescent="0.3">
      <c r="A19" s="1" t="s">
        <v>52</v>
      </c>
    </row>
    <row r="20" spans="1:4" x14ac:dyDescent="0.3">
      <c r="A20" t="s">
        <v>41</v>
      </c>
      <c r="C20" t="str">
        <f>'Inputs NAV'!C20</f>
        <v>Yes</v>
      </c>
      <c r="D20" s="89" t="s">
        <v>53</v>
      </c>
    </row>
    <row r="21" spans="1:4" x14ac:dyDescent="0.3">
      <c r="A21" t="s">
        <v>45</v>
      </c>
      <c r="C21" t="str">
        <f>'Inputs NAV'!C21</f>
        <v>Yes</v>
      </c>
      <c r="D21" s="89" t="s">
        <v>53</v>
      </c>
    </row>
    <row r="22" spans="1:4" x14ac:dyDescent="0.3">
      <c r="D22" s="89"/>
    </row>
    <row r="23" spans="1:4" x14ac:dyDescent="0.3">
      <c r="A23" s="2" t="s">
        <v>54</v>
      </c>
      <c r="B23" s="2"/>
      <c r="C23" s="2"/>
      <c r="D23" s="89"/>
    </row>
    <row r="24" spans="1:4" x14ac:dyDescent="0.3">
      <c r="D24" s="89"/>
    </row>
    <row r="25" spans="1:4" x14ac:dyDescent="0.3">
      <c r="A25" t="s">
        <v>55</v>
      </c>
      <c r="B25" t="s">
        <v>56</v>
      </c>
      <c r="C25" s="5">
        <f>IF('Inputs NAV'!C6="YES",'Inputs NAV'!C25,0)</f>
        <v>400</v>
      </c>
      <c r="D25" s="89" t="str">
        <f>IF(OR('Inputs NAV'!$C$6="Yes",'Inputs NAV'!$C$7="Yes"),"Feeds from Inputs NAV.","")</f>
        <v>Feeds from Inputs NAV.</v>
      </c>
    </row>
    <row r="26" spans="1:4" x14ac:dyDescent="0.3">
      <c r="A26" t="s">
        <v>57</v>
      </c>
      <c r="B26" t="s">
        <v>58</v>
      </c>
      <c r="C26" s="5">
        <f>IF('Inputs NAV'!C6="YES",'Inputs NAV'!C26,0)</f>
        <v>37980</v>
      </c>
      <c r="D26" s="89" t="str">
        <f>IF(OR('Inputs NAV'!$C$6="Yes",'Inputs NAV'!$C$7="Yes"),"Feeds from Inputs NAV. The leakage adjustment is applied later in the Water calc sheet.","")</f>
        <v>Feeds from Inputs NAV. The leakage adjustment is applied later in the Water calc sheet.</v>
      </c>
    </row>
    <row r="27" spans="1:4" x14ac:dyDescent="0.3">
      <c r="A27" t="s">
        <v>60</v>
      </c>
      <c r="B27" t="s">
        <v>56</v>
      </c>
      <c r="C27" s="5">
        <f>IF('Inputs NAV'!C7="YES",'Inputs NAV'!C27,0)</f>
        <v>10</v>
      </c>
      <c r="D27" s="89" t="str">
        <f>IF(OR('Inputs NAV'!$C$6="Yes",'Inputs NAV'!$C$7="Yes"),"Feeds from Inputs NAV.","")</f>
        <v>Feeds from Inputs NAV.</v>
      </c>
    </row>
    <row r="28" spans="1:4" x14ac:dyDescent="0.3">
      <c r="A28" t="s">
        <v>61</v>
      </c>
      <c r="B28" t="s">
        <v>58</v>
      </c>
      <c r="C28" s="5">
        <f>IF('Inputs NAV'!C7="Yes",'Inputs NAV'!C28,0)</f>
        <v>1000</v>
      </c>
      <c r="D28" s="89" t="str">
        <f>IF(OR('Inputs NAV'!$C$6="Yes",'Inputs NAV'!$C$7="Yes"),"Feeds from Inputs NAV. The leakage adjustment is applied later in the Water calc sheet.","")</f>
        <v>Feeds from Inputs NAV. The leakage adjustment is applied later in the Water calc sheet.</v>
      </c>
    </row>
    <row r="29" spans="1:4" x14ac:dyDescent="0.3">
      <c r="A29" s="50" t="s">
        <v>62</v>
      </c>
      <c r="B29" t="s">
        <v>63</v>
      </c>
      <c r="C29" s="5">
        <f>IF('Inputs NAV'!C8="YES",IF('Inputs NAV'!C20="Yes",'Inputs NAV'!C29,SUM(C26,C28)*Data!$A$13),0)</f>
        <v>5</v>
      </c>
      <c r="D29" s="89" t="str">
        <f>IF(OR('Inputs NAV'!$C$6="Yes",'Inputs NAV'!$C$7="Yes"),"Feeds from Inputs NAV.","")</f>
        <v>Feeds from Inputs NAV.</v>
      </c>
    </row>
    <row r="30" spans="1:4" x14ac:dyDescent="0.3">
      <c r="A30" s="50" t="s">
        <v>64</v>
      </c>
      <c r="B30" t="s">
        <v>56</v>
      </c>
      <c r="C30" s="5">
        <f>'Inputs NAV'!C30</f>
        <v>1</v>
      </c>
      <c r="D30" s="89"/>
    </row>
    <row r="32" spans="1:4" x14ac:dyDescent="0.3">
      <c r="A32" s="3" t="s">
        <v>66</v>
      </c>
      <c r="B32" s="3"/>
      <c r="C32" s="3"/>
      <c r="D32" s="89"/>
    </row>
    <row r="33" spans="1:4" x14ac:dyDescent="0.3">
      <c r="D33" s="89"/>
    </row>
    <row r="34" spans="1:4" x14ac:dyDescent="0.3">
      <c r="A34" t="s">
        <v>67</v>
      </c>
      <c r="B34" t="s">
        <v>56</v>
      </c>
      <c r="C34" s="5">
        <f>IF('Inputs NAV'!C11="YES",'Inputs NAV'!C34,0)</f>
        <v>0</v>
      </c>
      <c r="D34" s="89" t="str">
        <f>IF(OR('Inputs NAV'!$C$11="Yes",'Inputs NAV'!$C$12="Yes"),"Feeds from Inputs NAV.","")</f>
        <v>Feeds from Inputs NAV.</v>
      </c>
    </row>
    <row r="35" spans="1:4" x14ac:dyDescent="0.3">
      <c r="A35" t="s">
        <v>69</v>
      </c>
      <c r="B35" t="s">
        <v>56</v>
      </c>
      <c r="C35" s="5">
        <f>IF('Inputs NAV'!C11="YES",'Inputs NAV'!C35,0)</f>
        <v>400</v>
      </c>
      <c r="D35" s="89" t="str">
        <f>IF(OR('Inputs NAV'!$C$11="Yes",'Inputs NAV'!$C$12="Yes"),"Feeds from Inputs NAV.","")</f>
        <v>Feeds from Inputs NAV.</v>
      </c>
    </row>
    <row r="36" spans="1:4" x14ac:dyDescent="0.3">
      <c r="A36" t="s">
        <v>70</v>
      </c>
      <c r="B36" t="s">
        <v>58</v>
      </c>
      <c r="C36" s="5">
        <f>IF('Inputs NAV'!C11="YES",IF(C16="yes",'Inputs NAV'!C36,'Inputs NAV'!C26*(1-Data!$A$7)*Data!$A$10),0)</f>
        <v>34096.544999999998</v>
      </c>
      <c r="D36" s="89" t="str">
        <f>IF(OR('Inputs NAV'!$C$11="Yes",'Inputs NAV'!$C$12="Yes"),"If wastewater volume is known this feeds from Inputs NAV. If wastewater volume is not known the water volume is used with the leakage adjustment (5.5%) deducted and the return to sewer percentage (95%) applied.","")</f>
        <v>If wastewater volume is known this feeds from Inputs NAV. If wastewater volume is not known the water volume is used with the leakage adjustment (5.5%) deducted and the return to sewer percentage (95%) applied.</v>
      </c>
    </row>
    <row r="37" spans="1:4" x14ac:dyDescent="0.3">
      <c r="A37" t="s">
        <v>71</v>
      </c>
      <c r="B37" t="s">
        <v>56</v>
      </c>
      <c r="C37" s="5">
        <f>IF('Inputs NAV'!C12="YES",'Inputs NAV'!C37,0)</f>
        <v>0</v>
      </c>
      <c r="D37" s="89" t="str">
        <f>IF(OR('Inputs NAV'!$C$11="Yes",'Inputs NAV'!$C$12="Yes"),"Feeds from Inputs NAV.","")</f>
        <v>Feeds from Inputs NAV.</v>
      </c>
    </row>
    <row r="38" spans="1:4" x14ac:dyDescent="0.3">
      <c r="A38" t="s">
        <v>72</v>
      </c>
      <c r="B38" t="s">
        <v>56</v>
      </c>
      <c r="C38" s="5">
        <f>IF('Inputs NAV'!C12="YES",'Inputs NAV'!C38,0)</f>
        <v>10</v>
      </c>
      <c r="D38" s="89" t="str">
        <f>IF(OR('Inputs NAV'!$C$11="Yes",'Inputs NAV'!$C$12="Yes"),"Feeds from Inputs NAV.","")</f>
        <v>Feeds from Inputs NAV.</v>
      </c>
    </row>
    <row r="39" spans="1:4" x14ac:dyDescent="0.3">
      <c r="A39" t="s">
        <v>73</v>
      </c>
      <c r="B39" t="s">
        <v>58</v>
      </c>
      <c r="C39" s="5">
        <f>IF('Inputs NAV'!$C$12="YES",IF(C17="YES",'Inputs NAV'!C39,'Inputs NAV'!C28*(1-Data!$A$7)*Data!$A$10),0)</f>
        <v>897.75</v>
      </c>
      <c r="D39" s="89" t="str">
        <f>IF(OR('Inputs NAV'!$C$11="Yes",'Inputs NAV'!$C$12="Yes"),"If wastewater volume is known this feeds from Inputs NAV. If wastewater volume is not known the water volume is used with the leakage adjustment (5.5%) deducted and the return to sewer percentage (95%) applied.","")</f>
        <v>If wastewater volume is known this feeds from Inputs NAV. If wastewater volume is not known the water volume is used with the leakage adjustment (5.5%) deducted and the return to sewer percentage (95%) applied.</v>
      </c>
    </row>
    <row r="40" spans="1:4" x14ac:dyDescent="0.3">
      <c r="A40" s="50" t="s">
        <v>74</v>
      </c>
      <c r="B40" t="s">
        <v>63</v>
      </c>
      <c r="C40" s="30">
        <f>IF('Inputs NAV'!C13="YES",IF('Inputs NAV'!C21="YES",'Inputs NAV'!C40,SUM(C36,C39)*Data!$A$16),0)</f>
        <v>10</v>
      </c>
      <c r="D40" s="89" t="str">
        <f>IF(OR('Inputs NAV'!$C$11="Yes",'Inputs NAV'!$C$12="Yes"),"Feeds from Inputs NAV.","")</f>
        <v>Feeds from Inputs NAV.</v>
      </c>
    </row>
    <row r="41" spans="1:4" x14ac:dyDescent="0.3">
      <c r="A41" s="50" t="s">
        <v>64</v>
      </c>
      <c r="B41" t="s">
        <v>56</v>
      </c>
      <c r="C41" s="30">
        <f>'Inputs NAV'!C41</f>
        <v>0</v>
      </c>
    </row>
  </sheetData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8968F83-0503-479B-A3E6-72D388630E64}">
            <xm:f>AND('Inputs NAV'!$C$6="No",'Inputs NAV'!$C$7="No")</xm:f>
            <x14:dxf>
              <font>
                <color theme="1" tint="0.499984740745262"/>
              </font>
              <fill>
                <patternFill patternType="solid">
                  <fgColor theme="1" tint="0.499984740745262"/>
                  <bgColor theme="1" tint="0.499984740745262"/>
                </patternFill>
              </fill>
            </x14:dxf>
          </x14:cfRule>
          <xm:sqref>A23:C29 B30:C30</xm:sqref>
        </x14:conditionalFormatting>
        <x14:conditionalFormatting xmlns:xm="http://schemas.microsoft.com/office/excel/2006/main">
          <x14:cfRule type="expression" priority="6" id="{DA7D38A8-A395-44A4-B909-2CCF5C0D3925}">
            <xm:f>AND('Inputs NAV'!$C$11="No",'Inputs NAV'!$C$12="No")</xm:f>
            <x14:dxf>
              <font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A32:C40 B41:C41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B9ADB-FD7F-407A-AE45-C0A2DF78F8F2}">
  <sheetPr>
    <tabColor theme="6" tint="0.39997558519241921"/>
  </sheetPr>
  <dimension ref="A1:G57"/>
  <sheetViews>
    <sheetView topLeftCell="A23" zoomScaleNormal="100" workbookViewId="0">
      <selection activeCell="D34" sqref="D34"/>
    </sheetView>
  </sheetViews>
  <sheetFormatPr defaultRowHeight="14" x14ac:dyDescent="0.3"/>
  <cols>
    <col min="1" max="1" width="37.5" customWidth="1"/>
    <col min="2" max="2" width="13.4140625" bestFit="1" customWidth="1"/>
    <col min="3" max="6" width="13.6640625" customWidth="1"/>
    <col min="7" max="8" width="12.6640625" customWidth="1"/>
  </cols>
  <sheetData>
    <row r="1" spans="1:7" x14ac:dyDescent="0.3">
      <c r="A1" s="7" t="s">
        <v>76</v>
      </c>
      <c r="B1" s="9"/>
      <c r="C1" s="9"/>
      <c r="D1" s="9"/>
      <c r="E1" s="9"/>
      <c r="F1" s="9"/>
      <c r="G1" s="9"/>
    </row>
    <row r="2" spans="1:7" x14ac:dyDescent="0.3">
      <c r="A2" s="10"/>
      <c r="B2" s="9"/>
      <c r="C2" s="9"/>
      <c r="D2" s="9"/>
      <c r="E2" s="9"/>
      <c r="F2" s="9"/>
      <c r="G2" s="9"/>
    </row>
    <row r="3" spans="1:7" x14ac:dyDescent="0.3">
      <c r="A3" s="29" t="s">
        <v>77</v>
      </c>
      <c r="B3" s="29"/>
      <c r="C3" s="29"/>
      <c r="D3" s="29"/>
      <c r="E3" s="29"/>
      <c r="F3" s="29"/>
      <c r="G3" s="9"/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78</v>
      </c>
      <c r="B5" s="7"/>
      <c r="C5" s="8"/>
      <c r="D5" s="9"/>
      <c r="E5" s="9"/>
      <c r="F5" s="9"/>
      <c r="G5" s="9"/>
    </row>
    <row r="6" spans="1:7" x14ac:dyDescent="0.3">
      <c r="A6" s="7"/>
      <c r="B6" s="7"/>
      <c r="C6" s="8"/>
      <c r="D6" s="9"/>
      <c r="E6" s="9"/>
      <c r="F6" s="9"/>
      <c r="G6" s="9"/>
    </row>
    <row r="7" spans="1:7" x14ac:dyDescent="0.3">
      <c r="A7" s="113" t="s">
        <v>79</v>
      </c>
      <c r="B7" s="71" t="s">
        <v>34</v>
      </c>
      <c r="C7" s="70" t="s">
        <v>80</v>
      </c>
      <c r="D7" s="9"/>
      <c r="E7" s="9"/>
      <c r="F7" s="9"/>
      <c r="G7" s="9"/>
    </row>
    <row r="8" spans="1:7" x14ac:dyDescent="0.3">
      <c r="A8" s="67" t="s">
        <v>81</v>
      </c>
      <c r="B8" s="67" t="s">
        <v>82</v>
      </c>
      <c r="C8" s="68">
        <v>5</v>
      </c>
      <c r="D8" s="9"/>
      <c r="E8" s="9"/>
      <c r="F8" s="9"/>
      <c r="G8" s="9"/>
    </row>
    <row r="9" spans="1:7" x14ac:dyDescent="0.3">
      <c r="A9" s="67" t="s">
        <v>83</v>
      </c>
      <c r="B9" s="67" t="s">
        <v>84</v>
      </c>
      <c r="C9" s="69">
        <v>2.9087999999999998</v>
      </c>
      <c r="D9" s="9"/>
      <c r="E9" s="9"/>
      <c r="F9" s="9"/>
      <c r="G9" s="9"/>
    </row>
    <row r="10" spans="1:7" x14ac:dyDescent="0.3">
      <c r="A10" s="49"/>
      <c r="B10" s="49"/>
      <c r="C10" s="49"/>
      <c r="D10" s="49"/>
      <c r="E10" s="49"/>
      <c r="F10" s="49"/>
      <c r="G10" s="9"/>
    </row>
    <row r="11" spans="1:7" x14ac:dyDescent="0.3">
      <c r="A11" s="10" t="s">
        <v>66</v>
      </c>
      <c r="B11" s="9"/>
      <c r="C11" s="11"/>
      <c r="D11" s="11"/>
      <c r="E11" s="11"/>
      <c r="F11" s="11"/>
      <c r="G11" s="9"/>
    </row>
    <row r="12" spans="1:7" x14ac:dyDescent="0.3">
      <c r="A12" s="9"/>
      <c r="B12" s="9"/>
      <c r="C12" s="11"/>
      <c r="D12" s="11"/>
      <c r="E12" s="11"/>
      <c r="F12" s="11"/>
      <c r="G12" s="9"/>
    </row>
    <row r="13" spans="1:7" ht="28" x14ac:dyDescent="0.3">
      <c r="A13" s="113" t="s">
        <v>79</v>
      </c>
      <c r="B13" s="71" t="s">
        <v>34</v>
      </c>
      <c r="C13" s="70" t="s">
        <v>85</v>
      </c>
      <c r="D13" s="70" t="s">
        <v>86</v>
      </c>
      <c r="E13" s="70" t="s">
        <v>87</v>
      </c>
      <c r="F13" s="11"/>
      <c r="G13" s="9"/>
    </row>
    <row r="14" spans="1:7" x14ac:dyDescent="0.3">
      <c r="A14" s="67" t="s">
        <v>88</v>
      </c>
      <c r="B14" s="67" t="s">
        <v>82</v>
      </c>
      <c r="C14" s="72"/>
      <c r="D14" s="68">
        <v>27</v>
      </c>
      <c r="E14" s="68">
        <v>24.999999999999996</v>
      </c>
      <c r="F14" s="11"/>
      <c r="G14" s="9"/>
    </row>
    <row r="15" spans="1:7" x14ac:dyDescent="0.3">
      <c r="A15" s="67" t="s">
        <v>83</v>
      </c>
      <c r="B15" s="67" t="s">
        <v>84</v>
      </c>
      <c r="C15" s="69">
        <v>2.5169000000000001</v>
      </c>
      <c r="D15" s="73"/>
      <c r="E15" s="73"/>
      <c r="F15" s="11"/>
      <c r="G15" s="9"/>
    </row>
    <row r="16" spans="1:7" x14ac:dyDescent="0.3">
      <c r="A16" s="81" t="s">
        <v>89</v>
      </c>
      <c r="B16" s="79"/>
      <c r="C16" s="79"/>
      <c r="D16" s="79"/>
      <c r="E16" s="79"/>
      <c r="F16" s="56"/>
      <c r="G16" s="9"/>
    </row>
    <row r="17" spans="1:7" x14ac:dyDescent="0.3">
      <c r="A17" s="80" t="s">
        <v>90</v>
      </c>
      <c r="B17" s="56"/>
      <c r="C17" s="56"/>
      <c r="D17" s="56"/>
      <c r="E17" s="56"/>
      <c r="F17" s="56"/>
      <c r="G17" s="9"/>
    </row>
    <row r="18" spans="1:7" ht="14" customHeight="1" x14ac:dyDescent="0.3">
      <c r="A18" s="57"/>
      <c r="B18" s="57"/>
      <c r="C18" s="57"/>
      <c r="D18" s="57"/>
      <c r="E18" s="57"/>
      <c r="F18" s="57"/>
      <c r="G18" s="9"/>
    </row>
    <row r="19" spans="1:7" x14ac:dyDescent="0.3">
      <c r="A19" s="59" t="s">
        <v>91</v>
      </c>
      <c r="B19" s="59"/>
      <c r="C19" s="59"/>
      <c r="D19" s="59"/>
      <c r="E19" s="59"/>
      <c r="F19" s="59"/>
      <c r="G19" s="9"/>
    </row>
    <row r="20" spans="1:7" x14ac:dyDescent="0.3">
      <c r="A20" s="9"/>
      <c r="B20" s="9"/>
      <c r="C20" s="11"/>
      <c r="D20" s="11"/>
      <c r="E20" s="11"/>
      <c r="F20" s="11"/>
      <c r="G20" s="9"/>
    </row>
    <row r="21" spans="1:7" x14ac:dyDescent="0.3">
      <c r="A21" s="10" t="s">
        <v>54</v>
      </c>
      <c r="B21" s="9"/>
      <c r="C21" s="11"/>
      <c r="D21" s="11"/>
      <c r="E21" s="11"/>
      <c r="F21" s="11"/>
      <c r="G21" s="9"/>
    </row>
    <row r="22" spans="1:7" ht="14.5" x14ac:dyDescent="0.3">
      <c r="A22" s="9"/>
      <c r="B22" s="9"/>
      <c r="C22" s="9"/>
      <c r="D22" s="58"/>
      <c r="E22" s="58"/>
      <c r="F22" s="58"/>
      <c r="G22" s="9"/>
    </row>
    <row r="23" spans="1:7" ht="14.5" x14ac:dyDescent="0.3">
      <c r="A23" s="74" t="s">
        <v>79</v>
      </c>
      <c r="B23" s="75" t="s">
        <v>34</v>
      </c>
      <c r="C23" s="114" t="s">
        <v>80</v>
      </c>
      <c r="D23" s="58"/>
      <c r="E23" s="58"/>
      <c r="F23" s="58"/>
      <c r="G23" s="9"/>
    </row>
    <row r="24" spans="1:7" ht="14.5" x14ac:dyDescent="0.3">
      <c r="A24" s="67" t="s">
        <v>81</v>
      </c>
      <c r="B24" s="67" t="s">
        <v>82</v>
      </c>
      <c r="C24" s="68">
        <v>5</v>
      </c>
      <c r="D24" s="58"/>
      <c r="E24" s="58"/>
      <c r="F24" s="58"/>
      <c r="G24" s="9"/>
    </row>
    <row r="25" spans="1:7" ht="14.5" x14ac:dyDescent="0.3">
      <c r="A25" s="67" t="s">
        <v>83</v>
      </c>
      <c r="B25" s="67" t="s">
        <v>84</v>
      </c>
      <c r="C25" s="76">
        <v>2.9569000000000001</v>
      </c>
      <c r="D25" s="58"/>
      <c r="E25" s="58"/>
      <c r="F25" s="58"/>
      <c r="G25" s="9"/>
    </row>
    <row r="26" spans="1:7" x14ac:dyDescent="0.3">
      <c r="A26" s="56"/>
      <c r="B26" s="56"/>
      <c r="C26" s="56"/>
      <c r="D26" s="56"/>
      <c r="E26" s="56"/>
      <c r="F26" s="56"/>
      <c r="G26" s="9"/>
    </row>
    <row r="27" spans="1:7" ht="14.5" x14ac:dyDescent="0.3">
      <c r="A27" s="12" t="s">
        <v>66</v>
      </c>
      <c r="B27" s="12"/>
      <c r="C27" s="12"/>
      <c r="D27" s="12"/>
      <c r="E27" s="12"/>
      <c r="F27" s="11"/>
      <c r="G27" s="9"/>
    </row>
    <row r="28" spans="1:7" ht="14.5" x14ac:dyDescent="0.3">
      <c r="A28" s="12"/>
      <c r="B28" s="12"/>
      <c r="C28" s="11"/>
      <c r="D28" s="11"/>
      <c r="E28" s="11"/>
      <c r="F28" s="11"/>
      <c r="G28" s="9"/>
    </row>
    <row r="29" spans="1:7" ht="50" customHeight="1" x14ac:dyDescent="0.3">
      <c r="A29" s="113" t="s">
        <v>79</v>
      </c>
      <c r="B29" s="71" t="s">
        <v>34</v>
      </c>
      <c r="C29" s="70" t="s">
        <v>85</v>
      </c>
      <c r="D29" s="70" t="s">
        <v>86</v>
      </c>
      <c r="E29" s="70" t="s">
        <v>87</v>
      </c>
      <c r="F29" s="11"/>
      <c r="G29" s="9"/>
    </row>
    <row r="30" spans="1:7" x14ac:dyDescent="0.3">
      <c r="A30" s="67" t="s">
        <v>88</v>
      </c>
      <c r="B30" s="67" t="s">
        <v>82</v>
      </c>
      <c r="C30" s="73"/>
      <c r="D30" s="68">
        <v>27</v>
      </c>
      <c r="E30" s="68">
        <v>24.999999999999996</v>
      </c>
      <c r="F30" s="11"/>
      <c r="G30" s="9"/>
    </row>
    <row r="31" spans="1:7" x14ac:dyDescent="0.3">
      <c r="A31" s="67" t="s">
        <v>83</v>
      </c>
      <c r="B31" s="67" t="s">
        <v>84</v>
      </c>
      <c r="C31" s="69">
        <v>2.5524</v>
      </c>
      <c r="D31" s="73"/>
      <c r="E31" s="73"/>
      <c r="F31" s="11"/>
      <c r="G31" s="9"/>
    </row>
    <row r="32" spans="1:7" x14ac:dyDescent="0.3">
      <c r="A32" s="86" t="s">
        <v>89</v>
      </c>
      <c r="B32" s="56"/>
      <c r="C32" s="56"/>
      <c r="D32" s="56"/>
      <c r="E32" s="56"/>
      <c r="F32" s="56"/>
      <c r="G32" s="9"/>
    </row>
    <row r="33" spans="1:7" x14ac:dyDescent="0.3">
      <c r="A33" s="86" t="s">
        <v>90</v>
      </c>
      <c r="B33" s="49"/>
      <c r="C33" s="49"/>
      <c r="D33" s="49"/>
      <c r="E33" s="49"/>
      <c r="F33" s="49"/>
      <c r="G33" s="9"/>
    </row>
    <row r="34" spans="1:7" x14ac:dyDescent="0.3">
      <c r="A34" s="56"/>
      <c r="B34" s="49"/>
      <c r="C34" s="49"/>
      <c r="D34" s="49"/>
      <c r="E34" s="49"/>
      <c r="F34" s="49"/>
      <c r="G34" s="9"/>
    </row>
    <row r="35" spans="1:7" x14ac:dyDescent="0.3">
      <c r="A35" s="118" t="s">
        <v>92</v>
      </c>
      <c r="B35" s="118"/>
      <c r="C35" s="118"/>
      <c r="D35" s="118"/>
      <c r="E35" s="118"/>
      <c r="F35" s="118"/>
      <c r="G35" s="9"/>
    </row>
    <row r="36" spans="1:7" x14ac:dyDescent="0.3">
      <c r="A36" s="112"/>
      <c r="B36" s="112"/>
      <c r="C36" s="112"/>
      <c r="D36" s="112"/>
      <c r="E36" s="112"/>
      <c r="F36" s="112"/>
      <c r="G36" s="9"/>
    </row>
    <row r="37" spans="1:7" x14ac:dyDescent="0.3">
      <c r="A37" s="113" t="s">
        <v>79</v>
      </c>
      <c r="B37" s="71" t="s">
        <v>34</v>
      </c>
      <c r="C37" s="70" t="s">
        <v>80</v>
      </c>
      <c r="D37" s="112"/>
      <c r="E37" s="112"/>
      <c r="F37" s="112"/>
      <c r="G37" s="9"/>
    </row>
    <row r="38" spans="1:7" x14ac:dyDescent="0.3">
      <c r="A38" s="67" t="s">
        <v>93</v>
      </c>
      <c r="B38" s="67" t="s">
        <v>94</v>
      </c>
      <c r="C38" s="68">
        <v>56</v>
      </c>
      <c r="D38" s="112"/>
      <c r="E38" s="112"/>
      <c r="F38" s="112"/>
      <c r="G38" s="9"/>
    </row>
    <row r="39" spans="1:7" x14ac:dyDescent="0.3">
      <c r="A39" s="56"/>
      <c r="B39" s="49"/>
      <c r="C39" s="49"/>
      <c r="D39" s="49"/>
      <c r="E39" s="49"/>
      <c r="F39" s="49"/>
      <c r="G39" s="9"/>
    </row>
    <row r="40" spans="1:7" x14ac:dyDescent="0.3">
      <c r="A40" s="118" t="s">
        <v>95</v>
      </c>
      <c r="B40" s="118"/>
      <c r="C40" s="118"/>
      <c r="D40" s="118"/>
      <c r="E40" s="118"/>
      <c r="F40" s="118"/>
      <c r="G40" s="9"/>
    </row>
    <row r="41" spans="1:7" x14ac:dyDescent="0.3">
      <c r="A41" s="11"/>
      <c r="B41" s="99"/>
      <c r="C41" s="98"/>
      <c r="D41" s="11"/>
      <c r="E41" s="11"/>
      <c r="F41" s="11"/>
      <c r="G41" s="9"/>
    </row>
    <row r="42" spans="1:7" x14ac:dyDescent="0.3">
      <c r="A42" s="121" t="s">
        <v>96</v>
      </c>
      <c r="B42" s="121" t="s">
        <v>34</v>
      </c>
      <c r="C42" s="122" t="s">
        <v>54</v>
      </c>
      <c r="D42" s="124" t="s">
        <v>66</v>
      </c>
      <c r="E42" s="125"/>
      <c r="F42" s="126"/>
      <c r="G42" s="9"/>
    </row>
    <row r="43" spans="1:7" ht="28" x14ac:dyDescent="0.3">
      <c r="A43" s="121"/>
      <c r="B43" s="121"/>
      <c r="C43" s="123"/>
      <c r="D43" s="70" t="s">
        <v>97</v>
      </c>
      <c r="E43" s="70" t="s">
        <v>98</v>
      </c>
      <c r="F43" s="70" t="s">
        <v>87</v>
      </c>
      <c r="G43" s="9"/>
    </row>
    <row r="44" spans="1:7" ht="28" x14ac:dyDescent="0.3">
      <c r="A44" s="82" t="s">
        <v>99</v>
      </c>
      <c r="B44" s="83"/>
      <c r="C44" s="83"/>
      <c r="D44" s="83"/>
      <c r="E44" s="83"/>
      <c r="F44" s="53"/>
      <c r="G44" s="9"/>
    </row>
    <row r="45" spans="1:7" x14ac:dyDescent="0.3">
      <c r="A45" s="83" t="s">
        <v>100</v>
      </c>
      <c r="B45" s="83" t="s">
        <v>101</v>
      </c>
      <c r="C45" s="100">
        <v>14.75</v>
      </c>
      <c r="D45" s="100">
        <v>3.15</v>
      </c>
      <c r="E45" s="100">
        <v>1.57</v>
      </c>
      <c r="F45" s="101">
        <v>1.48</v>
      </c>
      <c r="G45" s="9"/>
    </row>
    <row r="46" spans="1:7" x14ac:dyDescent="0.3">
      <c r="A46" s="83" t="s">
        <v>102</v>
      </c>
      <c r="B46" s="83" t="s">
        <v>101</v>
      </c>
      <c r="C46" s="100">
        <v>19.53</v>
      </c>
      <c r="D46" s="100">
        <v>3.21</v>
      </c>
      <c r="E46" s="100">
        <v>1.47</v>
      </c>
      <c r="F46" s="101">
        <v>1.38</v>
      </c>
      <c r="G46" s="9"/>
    </row>
    <row r="47" spans="1:7" x14ac:dyDescent="0.3">
      <c r="A47" s="83" t="s">
        <v>103</v>
      </c>
      <c r="B47" s="83" t="s">
        <v>101</v>
      </c>
      <c r="C47" s="100">
        <v>4.8600000000000003</v>
      </c>
      <c r="D47" s="100">
        <v>0.31</v>
      </c>
      <c r="E47" s="100">
        <v>0.15</v>
      </c>
      <c r="F47" s="101">
        <v>0.14000000000000001</v>
      </c>
      <c r="G47" s="9"/>
    </row>
    <row r="48" spans="1:7" x14ac:dyDescent="0.3">
      <c r="A48" s="84" t="s">
        <v>104</v>
      </c>
      <c r="B48" s="84" t="s">
        <v>101</v>
      </c>
      <c r="C48" s="102">
        <v>39.14</v>
      </c>
      <c r="D48" s="102">
        <v>6.669999999999999</v>
      </c>
      <c r="E48" s="102">
        <v>3.19</v>
      </c>
      <c r="F48" s="103">
        <v>3</v>
      </c>
      <c r="G48" s="9"/>
    </row>
    <row r="49" spans="1:7" x14ac:dyDescent="0.3">
      <c r="A49" s="82" t="s">
        <v>105</v>
      </c>
      <c r="B49" s="85"/>
      <c r="C49" s="104"/>
      <c r="D49" s="104"/>
      <c r="E49" s="104"/>
      <c r="F49" s="104"/>
      <c r="G49" s="9"/>
    </row>
    <row r="50" spans="1:7" x14ac:dyDescent="0.3">
      <c r="A50" s="77" t="s">
        <v>100</v>
      </c>
      <c r="B50" s="77" t="s">
        <v>106</v>
      </c>
      <c r="C50" s="100">
        <v>190.24</v>
      </c>
      <c r="D50" s="119">
        <v>220.07</v>
      </c>
      <c r="E50" s="119"/>
      <c r="F50" s="119"/>
      <c r="G50" s="9"/>
    </row>
    <row r="51" spans="1:7" x14ac:dyDescent="0.3">
      <c r="A51" s="77" t="s">
        <v>102</v>
      </c>
      <c r="B51" s="77" t="s">
        <v>106</v>
      </c>
      <c r="C51" s="100">
        <v>12.68</v>
      </c>
      <c r="D51" s="119">
        <v>124.32</v>
      </c>
      <c r="E51" s="119"/>
      <c r="F51" s="119"/>
      <c r="G51" s="9"/>
    </row>
    <row r="52" spans="1:7" x14ac:dyDescent="0.3">
      <c r="A52" s="77" t="s">
        <v>103</v>
      </c>
      <c r="B52" s="77" t="s">
        <v>106</v>
      </c>
      <c r="C52" s="100">
        <v>28.75</v>
      </c>
      <c r="D52" s="119">
        <v>200.85</v>
      </c>
      <c r="E52" s="119"/>
      <c r="F52" s="119"/>
      <c r="G52" s="9"/>
    </row>
    <row r="53" spans="1:7" x14ac:dyDescent="0.3">
      <c r="A53" s="78" t="s">
        <v>104</v>
      </c>
      <c r="B53" s="78" t="s">
        <v>106</v>
      </c>
      <c r="C53" s="102">
        <v>231.67000000000002</v>
      </c>
      <c r="D53" s="120">
        <v>545.24</v>
      </c>
      <c r="E53" s="120"/>
      <c r="F53" s="120"/>
      <c r="G53" s="9"/>
    </row>
    <row r="54" spans="1:7" x14ac:dyDescent="0.3">
      <c r="A54" s="87" t="s">
        <v>107</v>
      </c>
      <c r="B54" s="9"/>
      <c r="C54" s="9"/>
      <c r="D54" s="9"/>
      <c r="E54" s="9"/>
      <c r="F54" s="9"/>
      <c r="G54" s="9"/>
    </row>
    <row r="55" spans="1:7" x14ac:dyDescent="0.3">
      <c r="A55" s="11"/>
      <c r="B55" s="11"/>
      <c r="C55" s="105"/>
      <c r="D55" s="11"/>
      <c r="E55" s="11"/>
      <c r="F55" s="105"/>
      <c r="G55" s="9"/>
    </row>
    <row r="56" spans="1:7" x14ac:dyDescent="0.3">
      <c r="A56" s="112"/>
      <c r="B56" s="112"/>
      <c r="C56" s="112"/>
      <c r="D56" s="112"/>
      <c r="E56" s="112"/>
      <c r="F56" s="112"/>
      <c r="G56" s="9"/>
    </row>
    <row r="57" spans="1:7" x14ac:dyDescent="0.3">
      <c r="A57" s="11"/>
      <c r="B57" s="11"/>
      <c r="C57" s="105"/>
      <c r="D57" s="11"/>
      <c r="E57" s="11"/>
      <c r="F57" s="105"/>
      <c r="G57" s="9"/>
    </row>
  </sheetData>
  <mergeCells count="10">
    <mergeCell ref="A35:F35"/>
    <mergeCell ref="A40:F40"/>
    <mergeCell ref="D51:F51"/>
    <mergeCell ref="D52:F52"/>
    <mergeCell ref="D53:F53"/>
    <mergeCell ref="A42:A43"/>
    <mergeCell ref="B42:B43"/>
    <mergeCell ref="C42:C43"/>
    <mergeCell ref="D42:F42"/>
    <mergeCell ref="D50:F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96384-E1EF-4E86-9CC5-6FF8FAECC7A2}">
  <sheetPr>
    <tabColor theme="4"/>
  </sheetPr>
  <dimension ref="A1:H112"/>
  <sheetViews>
    <sheetView zoomScaleNormal="100" workbookViewId="0">
      <pane ySplit="1" topLeftCell="A92" activePane="bottomLeft" state="frozen"/>
      <selection pane="bottomLeft" activeCell="C111" sqref="C111"/>
    </sheetView>
  </sheetViews>
  <sheetFormatPr defaultRowHeight="14" outlineLevelRow="2" x14ac:dyDescent="0.3"/>
  <cols>
    <col min="1" max="1" width="66.58203125" bestFit="1" customWidth="1"/>
    <col min="2" max="2" width="12.08203125" bestFit="1" customWidth="1"/>
    <col min="3" max="3" width="11.08203125" bestFit="1" customWidth="1"/>
    <col min="5" max="5" width="9.08203125" bestFit="1" customWidth="1"/>
  </cols>
  <sheetData>
    <row r="1" spans="1:8" x14ac:dyDescent="0.3">
      <c r="A1" s="51" t="s">
        <v>108</v>
      </c>
      <c r="B1" s="1" t="s">
        <v>34</v>
      </c>
      <c r="C1" s="1" t="str">
        <f>'Inputs NAV'!C3</f>
        <v>Value</v>
      </c>
      <c r="D1" s="1" t="str">
        <f>'Inputs NAV'!D3</f>
        <v>Notes</v>
      </c>
      <c r="E1" s="1"/>
      <c r="F1" s="1"/>
      <c r="G1" s="1"/>
      <c r="H1" s="1"/>
    </row>
    <row r="2" spans="1:8" x14ac:dyDescent="0.3">
      <c r="A2" s="48" t="s">
        <v>109</v>
      </c>
      <c r="B2" s="27"/>
      <c r="C2" s="27"/>
      <c r="D2" s="27"/>
      <c r="E2" s="27"/>
      <c r="F2" s="27"/>
      <c r="G2" s="27"/>
      <c r="H2" s="27"/>
    </row>
    <row r="3" spans="1:8" outlineLevel="1" x14ac:dyDescent="0.3"/>
    <row r="4" spans="1:8" outlineLevel="1" x14ac:dyDescent="0.3">
      <c r="A4" s="28" t="s">
        <v>110</v>
      </c>
      <c r="B4" s="26"/>
      <c r="C4" s="26"/>
      <c r="D4" s="26"/>
      <c r="E4" s="26"/>
      <c r="F4" s="26"/>
      <c r="G4" s="26"/>
      <c r="H4" s="26"/>
    </row>
    <row r="5" spans="1:8" outlineLevel="2" x14ac:dyDescent="0.3"/>
    <row r="6" spans="1:8" ht="14.5" outlineLevel="2" x14ac:dyDescent="0.35">
      <c r="A6" s="18" t="s">
        <v>111</v>
      </c>
      <c r="B6" s="19"/>
      <c r="C6" s="19"/>
      <c r="D6" s="19"/>
      <c r="E6" s="19"/>
      <c r="F6" s="19"/>
      <c r="G6" s="19"/>
      <c r="H6" s="19"/>
    </row>
    <row r="7" spans="1:8" ht="14.5" outlineLevel="2" x14ac:dyDescent="0.35">
      <c r="A7" s="6"/>
    </row>
    <row r="8" spans="1:8" outlineLevel="2" x14ac:dyDescent="0.3">
      <c r="A8" t="str">
        <f>'Summary of inputs'!A$25</f>
        <v>Household properties</v>
      </c>
      <c r="B8" t="str">
        <f>'Summary of inputs'!B$25</f>
        <v>nr</v>
      </c>
      <c r="C8">
        <f>'Summary of inputs'!C$25</f>
        <v>400</v>
      </c>
    </row>
    <row r="9" spans="1:8" outlineLevel="2" x14ac:dyDescent="0.3">
      <c r="A9" t="s">
        <v>112</v>
      </c>
      <c r="B9" t="s">
        <v>82</v>
      </c>
      <c r="C9" s="15">
        <f>'Charges schedule'!$C$8</f>
        <v>5</v>
      </c>
    </row>
    <row r="10" spans="1:8" ht="14.5" outlineLevel="2" thickBot="1" x14ac:dyDescent="0.35">
      <c r="A10" s="20" t="s">
        <v>113</v>
      </c>
      <c r="B10" s="20" t="s">
        <v>114</v>
      </c>
      <c r="C10" s="21">
        <f>C8 * C9</f>
        <v>2000</v>
      </c>
    </row>
    <row r="11" spans="1:8" outlineLevel="2" x14ac:dyDescent="0.3"/>
    <row r="12" spans="1:8" ht="14.5" outlineLevel="2" x14ac:dyDescent="0.35">
      <c r="A12" s="18" t="s">
        <v>115</v>
      </c>
      <c r="B12" s="19"/>
      <c r="C12" s="19"/>
      <c r="D12" s="19"/>
      <c r="E12" s="19"/>
      <c r="F12" s="19"/>
      <c r="G12" s="19"/>
      <c r="H12" s="19"/>
    </row>
    <row r="13" spans="1:8" outlineLevel="2" x14ac:dyDescent="0.3"/>
    <row r="14" spans="1:8" outlineLevel="2" x14ac:dyDescent="0.3">
      <c r="A14" t="str">
        <f>'Summary of inputs'!A$26</f>
        <v xml:space="preserve">Household volume per year </v>
      </c>
      <c r="B14" t="str">
        <f>'Summary of inputs'!B$26</f>
        <v>m³</v>
      </c>
      <c r="C14" s="5">
        <f>'Summary of inputs'!C$26</f>
        <v>37980</v>
      </c>
    </row>
    <row r="15" spans="1:8" outlineLevel="2" x14ac:dyDescent="0.3">
      <c r="A15" t="s">
        <v>116</v>
      </c>
      <c r="B15" t="s">
        <v>117</v>
      </c>
      <c r="C15" s="13">
        <f>Data!$A$7</f>
        <v>5.5E-2</v>
      </c>
    </row>
    <row r="16" spans="1:8" outlineLevel="2" x14ac:dyDescent="0.3">
      <c r="A16" t="s">
        <v>118</v>
      </c>
      <c r="B16" t="s">
        <v>58</v>
      </c>
      <c r="C16" s="5">
        <f>C14*(1-C15)</f>
        <v>35891.1</v>
      </c>
    </row>
    <row r="17" spans="1:8" outlineLevel="2" x14ac:dyDescent="0.3"/>
    <row r="18" spans="1:8" outlineLevel="2" x14ac:dyDescent="0.3">
      <c r="A18" t="str">
        <f>A$16</f>
        <v>Total water volume after leakage household</v>
      </c>
      <c r="B18" t="str">
        <f t="shared" ref="B18" si="0">B$16</f>
        <v>m³</v>
      </c>
      <c r="C18" s="5">
        <f>C$16</f>
        <v>35891.1</v>
      </c>
    </row>
    <row r="19" spans="1:8" outlineLevel="2" x14ac:dyDescent="0.3">
      <c r="A19" t="s">
        <v>119</v>
      </c>
      <c r="B19" t="s">
        <v>84</v>
      </c>
      <c r="C19" s="14">
        <f>'Charges schedule'!$C$9</f>
        <v>2.9087999999999998</v>
      </c>
    </row>
    <row r="20" spans="1:8" ht="14.5" outlineLevel="2" thickBot="1" x14ac:dyDescent="0.35">
      <c r="A20" s="20" t="s">
        <v>120</v>
      </c>
      <c r="B20" s="20" t="s">
        <v>114</v>
      </c>
      <c r="C20" s="23">
        <f>C18*C19</f>
        <v>104400.03167999999</v>
      </c>
    </row>
    <row r="21" spans="1:8" outlineLevel="2" x14ac:dyDescent="0.3"/>
    <row r="22" spans="1:8" ht="14.5" outlineLevel="2" x14ac:dyDescent="0.35">
      <c r="A22" s="18" t="s">
        <v>121</v>
      </c>
      <c r="B22" s="19"/>
      <c r="C22" s="19"/>
      <c r="D22" s="19"/>
      <c r="E22" s="19"/>
      <c r="F22" s="19"/>
      <c r="G22" s="19"/>
      <c r="H22" s="19"/>
    </row>
    <row r="23" spans="1:8" outlineLevel="2" x14ac:dyDescent="0.3"/>
    <row r="24" spans="1:8" outlineLevel="2" x14ac:dyDescent="0.3">
      <c r="A24" t="str">
        <f>A$10</f>
        <v>Total fixed charge household</v>
      </c>
      <c r="B24" t="str">
        <f>B$10</f>
        <v>£</v>
      </c>
      <c r="C24" s="31">
        <f>C10</f>
        <v>2000</v>
      </c>
    </row>
    <row r="25" spans="1:8" outlineLevel="2" x14ac:dyDescent="0.3">
      <c r="A25" t="str">
        <f>A$20</f>
        <v>Total volumetric charge household</v>
      </c>
      <c r="B25" t="str">
        <f t="shared" ref="B25" si="1">B$20</f>
        <v>£</v>
      </c>
      <c r="C25" s="5">
        <f>C$20</f>
        <v>104400.03167999999</v>
      </c>
    </row>
    <row r="26" spans="1:8" ht="14.5" outlineLevel="2" thickBot="1" x14ac:dyDescent="0.35">
      <c r="A26" s="24" t="s">
        <v>122</v>
      </c>
      <c r="B26" s="24" t="s">
        <v>114</v>
      </c>
      <c r="C26" s="25">
        <f>SUM(C24:C25)</f>
        <v>106400.03167999999</v>
      </c>
    </row>
    <row r="27" spans="1:8" ht="14.5" outlineLevel="1" thickTop="1" x14ac:dyDescent="0.3"/>
    <row r="28" spans="1:8" outlineLevel="1" x14ac:dyDescent="0.3">
      <c r="A28" s="28" t="s">
        <v>123</v>
      </c>
      <c r="B28" s="26"/>
      <c r="C28" s="26"/>
      <c r="D28" s="26"/>
      <c r="E28" s="26"/>
      <c r="F28" s="26"/>
      <c r="G28" s="26"/>
      <c r="H28" s="26"/>
    </row>
    <row r="29" spans="1:8" outlineLevel="2" x14ac:dyDescent="0.3"/>
    <row r="30" spans="1:8" ht="14.5" outlineLevel="2" x14ac:dyDescent="0.35">
      <c r="A30" s="18" t="s">
        <v>111</v>
      </c>
      <c r="B30" s="19"/>
      <c r="C30" s="19"/>
      <c r="D30" s="19"/>
      <c r="E30" s="19"/>
      <c r="F30" s="19"/>
      <c r="G30" s="19"/>
      <c r="H30" s="19"/>
    </row>
    <row r="31" spans="1:8" ht="14.5" outlineLevel="2" x14ac:dyDescent="0.35">
      <c r="A31" s="6"/>
    </row>
    <row r="32" spans="1:8" outlineLevel="2" x14ac:dyDescent="0.3">
      <c r="A32" t="str">
        <f>'Summary of inputs'!A$27</f>
        <v>Non-household properties</v>
      </c>
      <c r="B32" t="str">
        <f>'Summary of inputs'!B$27</f>
        <v>nr</v>
      </c>
      <c r="C32">
        <f>'Summary of inputs'!C$27</f>
        <v>10</v>
      </c>
    </row>
    <row r="33" spans="1:8" outlineLevel="2" x14ac:dyDescent="0.3">
      <c r="A33" t="s">
        <v>112</v>
      </c>
      <c r="B33" t="s">
        <v>82</v>
      </c>
      <c r="C33" s="15">
        <f>'Charges schedule'!$C$24</f>
        <v>5</v>
      </c>
    </row>
    <row r="34" spans="1:8" ht="14.5" outlineLevel="2" thickBot="1" x14ac:dyDescent="0.35">
      <c r="A34" s="20" t="s">
        <v>124</v>
      </c>
      <c r="B34" s="20" t="s">
        <v>114</v>
      </c>
      <c r="C34" s="21">
        <f>C32 * C33</f>
        <v>50</v>
      </c>
    </row>
    <row r="35" spans="1:8" outlineLevel="2" x14ac:dyDescent="0.3"/>
    <row r="36" spans="1:8" ht="14.5" outlineLevel="2" x14ac:dyDescent="0.35">
      <c r="A36" s="18" t="s">
        <v>115</v>
      </c>
      <c r="B36" s="19"/>
      <c r="C36" s="19"/>
      <c r="D36" s="19"/>
      <c r="E36" s="19"/>
      <c r="F36" s="19"/>
      <c r="G36" s="19"/>
      <c r="H36" s="19"/>
    </row>
    <row r="37" spans="1:8" outlineLevel="2" x14ac:dyDescent="0.3"/>
    <row r="38" spans="1:8" outlineLevel="2" x14ac:dyDescent="0.3">
      <c r="A38" t="str">
        <f>'Summary of inputs'!A$28</f>
        <v>Non-household volume per year</v>
      </c>
      <c r="B38" t="str">
        <f>'Summary of inputs'!B$28</f>
        <v>m³</v>
      </c>
      <c r="C38" s="5">
        <f>'Summary of inputs'!C$28</f>
        <v>1000</v>
      </c>
    </row>
    <row r="39" spans="1:8" outlineLevel="2" x14ac:dyDescent="0.3">
      <c r="A39" t="s">
        <v>116</v>
      </c>
      <c r="B39" t="s">
        <v>117</v>
      </c>
      <c r="C39" s="13">
        <f>Data!$A$7</f>
        <v>5.5E-2</v>
      </c>
    </row>
    <row r="40" spans="1:8" outlineLevel="2" x14ac:dyDescent="0.3">
      <c r="A40" t="s">
        <v>125</v>
      </c>
      <c r="B40" t="s">
        <v>58</v>
      </c>
      <c r="C40" s="5">
        <f>C38*(1-C39)</f>
        <v>945</v>
      </c>
    </row>
    <row r="41" spans="1:8" outlineLevel="2" x14ac:dyDescent="0.3"/>
    <row r="42" spans="1:8" outlineLevel="2" x14ac:dyDescent="0.3">
      <c r="A42" t="str">
        <f>A$40</f>
        <v>Total water volume after leakage non-household</v>
      </c>
      <c r="B42" t="str">
        <f t="shared" ref="B42:C42" si="2">B$40</f>
        <v>m³</v>
      </c>
      <c r="C42" s="5">
        <f t="shared" si="2"/>
        <v>945</v>
      </c>
    </row>
    <row r="43" spans="1:8" outlineLevel="2" x14ac:dyDescent="0.3">
      <c r="A43" t="s">
        <v>126</v>
      </c>
      <c r="B43" t="s">
        <v>84</v>
      </c>
      <c r="C43" s="14">
        <f>'Charges schedule'!$C$25</f>
        <v>2.9569000000000001</v>
      </c>
    </row>
    <row r="44" spans="1:8" ht="14.5" outlineLevel="2" thickBot="1" x14ac:dyDescent="0.35">
      <c r="A44" s="20" t="s">
        <v>127</v>
      </c>
      <c r="B44" s="20" t="s">
        <v>114</v>
      </c>
      <c r="C44" s="23">
        <f>C42*C43</f>
        <v>2794.2705000000001</v>
      </c>
    </row>
    <row r="45" spans="1:8" outlineLevel="2" x14ac:dyDescent="0.3"/>
    <row r="46" spans="1:8" ht="14.5" outlineLevel="2" x14ac:dyDescent="0.35">
      <c r="A46" s="18" t="s">
        <v>128</v>
      </c>
      <c r="B46" s="19"/>
      <c r="C46" s="19"/>
      <c r="D46" s="19"/>
      <c r="E46" s="19"/>
      <c r="F46" s="19"/>
      <c r="G46" s="19"/>
      <c r="H46" s="19"/>
    </row>
    <row r="47" spans="1:8" outlineLevel="2" x14ac:dyDescent="0.3"/>
    <row r="48" spans="1:8" outlineLevel="2" x14ac:dyDescent="0.3">
      <c r="A48" t="str">
        <f>A$34</f>
        <v>Total fixed charge non-household</v>
      </c>
      <c r="B48" t="str">
        <f t="shared" ref="B48:C48" si="3">B$34</f>
        <v>£</v>
      </c>
      <c r="C48">
        <f t="shared" si="3"/>
        <v>50</v>
      </c>
    </row>
    <row r="49" spans="1:8" outlineLevel="2" x14ac:dyDescent="0.3">
      <c r="A49" t="str">
        <f>A$44</f>
        <v>Total volumetric charge non-household</v>
      </c>
      <c r="B49" t="str">
        <f t="shared" ref="B49" si="4">B$44</f>
        <v>£</v>
      </c>
      <c r="C49" s="5">
        <f>C$44</f>
        <v>2794.2705000000001</v>
      </c>
    </row>
    <row r="50" spans="1:8" ht="14.5" outlineLevel="2" thickBot="1" x14ac:dyDescent="0.35">
      <c r="A50" s="24" t="s">
        <v>129</v>
      </c>
      <c r="B50" s="24" t="s">
        <v>114</v>
      </c>
      <c r="C50" s="25">
        <f>SUM(C48:C49)</f>
        <v>2844.2705000000001</v>
      </c>
    </row>
    <row r="51" spans="1:8" ht="14.5" outlineLevel="2" thickTop="1" x14ac:dyDescent="0.3"/>
    <row r="52" spans="1:8" outlineLevel="1" x14ac:dyDescent="0.3"/>
    <row r="53" spans="1:8" outlineLevel="1" x14ac:dyDescent="0.3">
      <c r="A53" s="28" t="s">
        <v>130</v>
      </c>
      <c r="B53" s="26"/>
      <c r="C53" s="26"/>
      <c r="D53" s="26"/>
      <c r="E53" s="26"/>
      <c r="F53" s="26"/>
      <c r="G53" s="26"/>
      <c r="H53" s="26"/>
    </row>
    <row r="54" spans="1:8" outlineLevel="2" x14ac:dyDescent="0.3">
      <c r="A54" t="str">
        <f>'Inputs NAV'!A$30</f>
        <v>Bulk meters</v>
      </c>
      <c r="B54" t="str">
        <f>'Inputs NAV'!B$30</f>
        <v>nr</v>
      </c>
      <c r="C54">
        <f>'Inputs NAV'!C$30</f>
        <v>1</v>
      </c>
    </row>
    <row r="55" spans="1:8" outlineLevel="2" x14ac:dyDescent="0.3">
      <c r="A55" s="15" t="str">
        <f>'Charges schedule'!A38</f>
        <v>Bulk meter charge</v>
      </c>
      <c r="B55" s="15" t="str">
        <f>'Charges schedule'!B38</f>
        <v>£ per meter</v>
      </c>
      <c r="C55" s="15">
        <f>'Charges schedule'!$C$38</f>
        <v>56</v>
      </c>
    </row>
    <row r="56" spans="1:8" ht="14.5" outlineLevel="2" thickBot="1" x14ac:dyDescent="0.35">
      <c r="A56" s="106" t="s">
        <v>131</v>
      </c>
      <c r="B56" s="106" t="s">
        <v>114</v>
      </c>
      <c r="C56" s="106">
        <f>C54 * C55</f>
        <v>56</v>
      </c>
    </row>
    <row r="57" spans="1:8" ht="14.5" outlineLevel="1" thickTop="1" x14ac:dyDescent="0.3"/>
    <row r="58" spans="1:8" outlineLevel="1" x14ac:dyDescent="0.3">
      <c r="A58" s="28" t="s">
        <v>132</v>
      </c>
      <c r="B58" s="26"/>
      <c r="C58" s="26"/>
      <c r="D58" s="26"/>
      <c r="E58" s="26"/>
      <c r="F58" s="26"/>
      <c r="G58" s="26"/>
      <c r="H58" s="26"/>
    </row>
    <row r="59" spans="1:8" outlineLevel="2" x14ac:dyDescent="0.3">
      <c r="C59" s="5"/>
      <c r="D59" s="5"/>
      <c r="E59" s="5"/>
      <c r="F59" s="5"/>
      <c r="G59" s="5"/>
      <c r="H59" s="5"/>
    </row>
    <row r="60" spans="1:8" ht="14.5" outlineLevel="2" x14ac:dyDescent="0.35">
      <c r="A60" s="16" t="s">
        <v>133</v>
      </c>
      <c r="B60" s="17"/>
      <c r="C60" s="17"/>
      <c r="D60" s="17"/>
      <c r="E60" s="17"/>
      <c r="F60" s="17"/>
      <c r="G60" s="17"/>
      <c r="H60" s="17"/>
    </row>
    <row r="61" spans="1:8" outlineLevel="2" x14ac:dyDescent="0.3"/>
    <row r="62" spans="1:8" outlineLevel="2" x14ac:dyDescent="0.3">
      <c r="A62" t="str">
        <f>A$26</f>
        <v>Total water charges household</v>
      </c>
      <c r="B62" t="str">
        <f t="shared" ref="B62" si="5">B$26</f>
        <v>£</v>
      </c>
      <c r="C62" s="5">
        <f>C$26</f>
        <v>106400.03167999999</v>
      </c>
    </row>
    <row r="63" spans="1:8" outlineLevel="2" x14ac:dyDescent="0.3">
      <c r="A63" t="str">
        <f>A$50</f>
        <v>Total water charges non-household</v>
      </c>
      <c r="B63" t="str">
        <f t="shared" ref="B63:C63" si="6">B$50</f>
        <v>£</v>
      </c>
      <c r="C63" s="5">
        <f t="shared" si="6"/>
        <v>2844.2705000000001</v>
      </c>
    </row>
    <row r="64" spans="1:8" outlineLevel="2" x14ac:dyDescent="0.3">
      <c r="A64" s="15" t="str">
        <f>A$56</f>
        <v>Total water bulk meter charges</v>
      </c>
      <c r="B64" s="15" t="str">
        <f t="shared" ref="B64:C64" si="7">B$56</f>
        <v>£</v>
      </c>
      <c r="C64" s="15">
        <f t="shared" si="7"/>
        <v>56</v>
      </c>
    </row>
    <row r="65" spans="1:8" ht="14.5" outlineLevel="2" thickBot="1" x14ac:dyDescent="0.35">
      <c r="A65" s="20" t="s">
        <v>134</v>
      </c>
      <c r="B65" s="20" t="s">
        <v>114</v>
      </c>
      <c r="C65" s="23">
        <f>SUM(C62:C64)</f>
        <v>109300.30217999998</v>
      </c>
    </row>
    <row r="66" spans="1:8" outlineLevel="2" x14ac:dyDescent="0.3"/>
    <row r="67" spans="1:8" ht="14.5" outlineLevel="2" x14ac:dyDescent="0.35">
      <c r="A67" s="16" t="s">
        <v>135</v>
      </c>
      <c r="B67" s="17"/>
      <c r="C67" s="17"/>
      <c r="D67" s="17"/>
      <c r="E67" s="17"/>
      <c r="F67" s="17"/>
      <c r="G67" s="17"/>
      <c r="H67" s="17"/>
    </row>
    <row r="68" spans="1:8" outlineLevel="2" x14ac:dyDescent="0.3"/>
    <row r="69" spans="1:8" outlineLevel="2" x14ac:dyDescent="0.3">
      <c r="A69" t="str">
        <f>A$16</f>
        <v>Total water volume after leakage household</v>
      </c>
      <c r="B69" t="str">
        <f t="shared" ref="B69:C69" si="8">B$16</f>
        <v>m³</v>
      </c>
      <c r="C69" s="5">
        <f t="shared" si="8"/>
        <v>35891.1</v>
      </c>
    </row>
    <row r="70" spans="1:8" outlineLevel="2" x14ac:dyDescent="0.3">
      <c r="A70" t="str">
        <f>A$40</f>
        <v>Total water volume after leakage non-household</v>
      </c>
      <c r="B70" t="str">
        <f t="shared" ref="B70:C70" si="9">B$40</f>
        <v>m³</v>
      </c>
      <c r="C70" s="5">
        <f t="shared" si="9"/>
        <v>945</v>
      </c>
    </row>
    <row r="71" spans="1:8" ht="14.5" outlineLevel="2" thickBot="1" x14ac:dyDescent="0.35">
      <c r="A71" s="20" t="s">
        <v>136</v>
      </c>
      <c r="B71" s="20" t="s">
        <v>58</v>
      </c>
      <c r="C71" s="21">
        <f>SUM(C69:C70)</f>
        <v>36836.1</v>
      </c>
    </row>
    <row r="72" spans="1:8" outlineLevel="2" x14ac:dyDescent="0.3">
      <c r="C72" s="22"/>
    </row>
    <row r="73" spans="1:8" ht="14.5" outlineLevel="2" x14ac:dyDescent="0.35">
      <c r="A73" s="52" t="s">
        <v>109</v>
      </c>
      <c r="B73" s="19"/>
      <c r="C73" s="19"/>
      <c r="D73" s="19"/>
      <c r="E73" s="19"/>
      <c r="F73" s="19"/>
      <c r="G73" s="19"/>
      <c r="H73" s="19"/>
    </row>
    <row r="74" spans="1:8" outlineLevel="2" x14ac:dyDescent="0.3"/>
    <row r="75" spans="1:8" outlineLevel="2" x14ac:dyDescent="0.3">
      <c r="A75" t="str">
        <f>A$65</f>
        <v>Total water charges</v>
      </c>
      <c r="B75" t="str">
        <f t="shared" ref="B75" si="10">B$65</f>
        <v>£</v>
      </c>
      <c r="C75" s="5">
        <f>C$65</f>
        <v>109300.30217999998</v>
      </c>
    </row>
    <row r="76" spans="1:8" outlineLevel="2" x14ac:dyDescent="0.3">
      <c r="A76" t="str">
        <f>A$71</f>
        <v>Total water volume after leakage</v>
      </c>
      <c r="B76" t="str">
        <f>B$71</f>
        <v>m³</v>
      </c>
      <c r="C76" s="5">
        <f>C$71</f>
        <v>36836.1</v>
      </c>
    </row>
    <row r="77" spans="1:8" ht="14.5" outlineLevel="2" thickBot="1" x14ac:dyDescent="0.35">
      <c r="A77" s="24" t="s">
        <v>137</v>
      </c>
      <c r="B77" s="24" t="s">
        <v>84</v>
      </c>
      <c r="C77" s="36">
        <f>IF(C75=0,0,(C75/C76))</f>
        <v>2.9672061423440588</v>
      </c>
    </row>
    <row r="78" spans="1:8" ht="14.5" outlineLevel="1" thickTop="1" x14ac:dyDescent="0.3"/>
    <row r="80" spans="1:8" x14ac:dyDescent="0.3">
      <c r="A80" s="48" t="s">
        <v>138</v>
      </c>
      <c r="B80" s="27"/>
      <c r="C80" s="27"/>
      <c r="D80" s="27"/>
      <c r="E80" s="27"/>
      <c r="F80" s="27"/>
      <c r="G80" s="27"/>
      <c r="H80" s="27"/>
    </row>
    <row r="81" spans="1:8" outlineLevel="1" x14ac:dyDescent="0.3"/>
    <row r="82" spans="1:8" ht="14.5" outlineLevel="1" x14ac:dyDescent="0.35">
      <c r="A82" s="16" t="s">
        <v>139</v>
      </c>
      <c r="B82" s="17"/>
      <c r="C82" s="17"/>
      <c r="D82" s="17"/>
      <c r="E82" s="17"/>
      <c r="F82" s="17"/>
      <c r="G82" s="17"/>
      <c r="H82" s="17"/>
    </row>
    <row r="83" spans="1:8" outlineLevel="1" x14ac:dyDescent="0.3"/>
    <row r="84" spans="1:8" outlineLevel="1" x14ac:dyDescent="0.3">
      <c r="A84" t="str">
        <f>'Summary of inputs'!A$25</f>
        <v>Household properties</v>
      </c>
      <c r="B84" t="str">
        <f>'Summary of inputs'!B$25</f>
        <v>nr</v>
      </c>
      <c r="C84">
        <f>'Summary of inputs'!C$25</f>
        <v>400</v>
      </c>
    </row>
    <row r="85" spans="1:8" outlineLevel="1" x14ac:dyDescent="0.3">
      <c r="A85" t="str">
        <f>'Summary of inputs'!A$27</f>
        <v>Non-household properties</v>
      </c>
      <c r="B85" t="str">
        <f>'Summary of inputs'!B$27</f>
        <v>nr</v>
      </c>
      <c r="C85">
        <f>'Summary of inputs'!C$27</f>
        <v>10</v>
      </c>
    </row>
    <row r="86" spans="1:8" outlineLevel="1" x14ac:dyDescent="0.3">
      <c r="A86" t="s">
        <v>140</v>
      </c>
      <c r="B86" t="s">
        <v>56</v>
      </c>
      <c r="C86">
        <f>C84+C85</f>
        <v>410</v>
      </c>
    </row>
    <row r="87" spans="1:8" outlineLevel="1" x14ac:dyDescent="0.3"/>
    <row r="88" spans="1:8" outlineLevel="1" x14ac:dyDescent="0.3">
      <c r="A88" t="str">
        <f>A$86</f>
        <v>Total properties</v>
      </c>
      <c r="B88" t="str">
        <f t="shared" ref="B88:C88" si="11">B$86</f>
        <v>nr</v>
      </c>
      <c r="C88">
        <f t="shared" si="11"/>
        <v>410</v>
      </c>
    </row>
    <row r="89" spans="1:8" outlineLevel="1" x14ac:dyDescent="0.3">
      <c r="A89" t="s">
        <v>141</v>
      </c>
      <c r="B89" t="s">
        <v>101</v>
      </c>
      <c r="C89" s="32">
        <f>'Charges schedule'!$C$48</f>
        <v>39.14</v>
      </c>
    </row>
    <row r="90" spans="1:8" ht="14.5" outlineLevel="1" thickBot="1" x14ac:dyDescent="0.35">
      <c r="A90" s="20" t="s">
        <v>142</v>
      </c>
      <c r="B90" s="20" t="s">
        <v>114</v>
      </c>
      <c r="C90" s="21">
        <f>C88 * C89</f>
        <v>16047.4</v>
      </c>
    </row>
    <row r="91" spans="1:8" outlineLevel="1" x14ac:dyDescent="0.3"/>
    <row r="92" spans="1:8" ht="14.5" outlineLevel="1" x14ac:dyDescent="0.35">
      <c r="A92" s="16" t="s">
        <v>143</v>
      </c>
      <c r="B92" s="17"/>
      <c r="C92" s="17"/>
      <c r="D92" s="17"/>
      <c r="E92" s="17"/>
      <c r="F92" s="17"/>
      <c r="G92" s="17"/>
      <c r="H92" s="17"/>
    </row>
    <row r="93" spans="1:8" outlineLevel="1" x14ac:dyDescent="0.3"/>
    <row r="94" spans="1:8" outlineLevel="1" x14ac:dyDescent="0.3">
      <c r="A94" t="str">
        <f>'Summary of inputs'!A$29</f>
        <v>Utilised capacity of water booster pumping stations</v>
      </c>
      <c r="B94" t="str">
        <f>'Summary of inputs'!B$29</f>
        <v>kW</v>
      </c>
      <c r="C94" s="95">
        <f>'Summary of inputs'!C$29</f>
        <v>5</v>
      </c>
    </row>
    <row r="95" spans="1:8" outlineLevel="1" x14ac:dyDescent="0.3">
      <c r="A95" t="s">
        <v>144</v>
      </c>
      <c r="B95" t="s">
        <v>106</v>
      </c>
      <c r="C95" s="32">
        <f>'Charges schedule'!$C$53</f>
        <v>231.67000000000002</v>
      </c>
    </row>
    <row r="96" spans="1:8" ht="14.5" outlineLevel="1" thickBot="1" x14ac:dyDescent="0.35">
      <c r="A96" s="20" t="s">
        <v>145</v>
      </c>
      <c r="B96" s="20" t="s">
        <v>114</v>
      </c>
      <c r="C96" s="34">
        <f>C94*C95</f>
        <v>1158.3500000000001</v>
      </c>
    </row>
    <row r="97" spans="1:8" outlineLevel="1" x14ac:dyDescent="0.3"/>
    <row r="98" spans="1:8" ht="14.5" outlineLevel="1" x14ac:dyDescent="0.35">
      <c r="A98" s="52" t="s">
        <v>146</v>
      </c>
      <c r="B98" s="19"/>
      <c r="C98" s="19"/>
      <c r="D98" s="19"/>
      <c r="E98" s="19"/>
      <c r="F98" s="19"/>
      <c r="G98" s="19"/>
      <c r="H98" s="19"/>
    </row>
    <row r="99" spans="1:8" outlineLevel="1" x14ac:dyDescent="0.3">
      <c r="A99" t="str">
        <f>A$90</f>
        <v>Total avoided cost mains pipes, meters and communication pipes</v>
      </c>
      <c r="B99" t="str">
        <f t="shared" ref="B99" si="12">B$90</f>
        <v>£</v>
      </c>
      <c r="C99" s="30">
        <f>C$90</f>
        <v>16047.4</v>
      </c>
    </row>
    <row r="100" spans="1:8" outlineLevel="1" x14ac:dyDescent="0.3">
      <c r="A100" t="str">
        <f>A$96</f>
        <v>Total avoided cost water booster pumping stations</v>
      </c>
      <c r="B100" t="str">
        <f t="shared" ref="B100" si="13">B$96</f>
        <v>£</v>
      </c>
      <c r="C100" s="30">
        <f>C$96</f>
        <v>1158.3500000000001</v>
      </c>
    </row>
    <row r="101" spans="1:8" ht="14.5" outlineLevel="1" thickBot="1" x14ac:dyDescent="0.35">
      <c r="A101" s="24" t="s">
        <v>147</v>
      </c>
      <c r="B101" s="24" t="s">
        <v>114</v>
      </c>
      <c r="C101" s="35">
        <f>SUM(C99:C100)</f>
        <v>17205.75</v>
      </c>
    </row>
    <row r="102" spans="1:8" ht="14.5" outlineLevel="1" thickTop="1" x14ac:dyDescent="0.3"/>
    <row r="103" spans="1:8" outlineLevel="1" x14ac:dyDescent="0.3">
      <c r="A103" t="str">
        <f>A$101</f>
        <v>Total avoided costs water</v>
      </c>
      <c r="B103" t="str">
        <f t="shared" ref="B103" si="14">B$101</f>
        <v>£</v>
      </c>
      <c r="C103" s="30">
        <f>C$101</f>
        <v>17205.75</v>
      </c>
    </row>
    <row r="104" spans="1:8" outlineLevel="1" x14ac:dyDescent="0.3">
      <c r="A104" t="str">
        <f>A$71</f>
        <v>Total water volume after leakage</v>
      </c>
      <c r="B104" t="str">
        <f t="shared" ref="B104" si="15">B$71</f>
        <v>m³</v>
      </c>
      <c r="C104" s="5">
        <f>C$71</f>
        <v>36836.1</v>
      </c>
    </row>
    <row r="105" spans="1:8" ht="14.5" outlineLevel="1" thickBot="1" x14ac:dyDescent="0.35">
      <c r="A105" s="24" t="s">
        <v>148</v>
      </c>
      <c r="B105" s="24" t="s">
        <v>84</v>
      </c>
      <c r="C105" s="36">
        <f>IF(C103=0,0,C103/C104)</f>
        <v>0.46708934984973982</v>
      </c>
    </row>
    <row r="106" spans="1:8" ht="14.5" thickTop="1" x14ac:dyDescent="0.3">
      <c r="C106" s="30"/>
    </row>
    <row r="107" spans="1:8" x14ac:dyDescent="0.3">
      <c r="A107" s="48" t="s">
        <v>149</v>
      </c>
      <c r="B107" s="27"/>
      <c r="C107" s="27"/>
      <c r="D107" s="27"/>
      <c r="E107" s="27"/>
      <c r="F107" s="27"/>
      <c r="G107" s="27"/>
      <c r="H107" s="27"/>
    </row>
    <row r="108" spans="1:8" outlineLevel="1" x14ac:dyDescent="0.3"/>
    <row r="109" spans="1:8" outlineLevel="1" x14ac:dyDescent="0.3">
      <c r="A109" t="str">
        <f>A$77</f>
        <v>Weighted average wholesale tariff water</v>
      </c>
      <c r="B109" t="str">
        <f t="shared" ref="B109" si="16">B$77</f>
        <v>£ per m³</v>
      </c>
      <c r="C109" s="40">
        <f>C$77</f>
        <v>2.9672061423440588</v>
      </c>
    </row>
    <row r="110" spans="1:8" outlineLevel="1" x14ac:dyDescent="0.3">
      <c r="A110" t="str">
        <f>A$105</f>
        <v>Volumetric avoided cost water</v>
      </c>
      <c r="B110" t="str">
        <f t="shared" ref="B110:C110" si="17">B$105</f>
        <v>£ per m³</v>
      </c>
      <c r="C110" s="40">
        <f t="shared" si="17"/>
        <v>0.46708934984973982</v>
      </c>
    </row>
    <row r="111" spans="1:8" ht="14.5" outlineLevel="1" thickBot="1" x14ac:dyDescent="0.35">
      <c r="A111" s="24" t="s">
        <v>150</v>
      </c>
      <c r="B111" s="24" t="s">
        <v>84</v>
      </c>
      <c r="C111" s="36">
        <f>C109 - C110</f>
        <v>2.5001167924943188</v>
      </c>
    </row>
    <row r="112" spans="1:8" ht="14.5" thickTop="1" x14ac:dyDescent="0.3"/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4BB9-60D3-4832-AD6B-852C8831A28C}">
  <sheetPr>
    <tabColor theme="9"/>
  </sheetPr>
  <dimension ref="A1:H124"/>
  <sheetViews>
    <sheetView zoomScaleNormal="100" workbookViewId="0">
      <pane ySplit="1" topLeftCell="A98" activePane="bottomLeft" state="frozen"/>
      <selection pane="bottomLeft" activeCell="E1" sqref="E1:H1"/>
    </sheetView>
  </sheetViews>
  <sheetFormatPr defaultRowHeight="14" outlineLevelRow="2" x14ac:dyDescent="0.3"/>
  <cols>
    <col min="1" max="1" width="61.5" bestFit="1" customWidth="1"/>
    <col min="2" max="2" width="12.08203125" bestFit="1" customWidth="1"/>
    <col min="3" max="3" width="14.08203125" customWidth="1"/>
    <col min="4" max="4" width="13.1640625" customWidth="1"/>
    <col min="5" max="5" width="14.08203125" customWidth="1"/>
    <col min="6" max="6" width="12.4140625" customWidth="1"/>
    <col min="7" max="7" width="16" customWidth="1"/>
    <col min="8" max="8" width="13.1640625" customWidth="1"/>
  </cols>
  <sheetData>
    <row r="1" spans="1:8" x14ac:dyDescent="0.3">
      <c r="A1" s="51" t="s">
        <v>151</v>
      </c>
      <c r="B1" s="1" t="s">
        <v>34</v>
      </c>
      <c r="C1" s="108" t="str">
        <f>'Summary of inputs'!C3</f>
        <v>Value</v>
      </c>
      <c r="D1" s="108" t="str">
        <f>'Summary of inputs'!D3</f>
        <v>Notes</v>
      </c>
      <c r="E1" s="108"/>
      <c r="F1" s="108"/>
      <c r="G1" s="108"/>
      <c r="H1" s="108"/>
    </row>
    <row r="2" spans="1:8" x14ac:dyDescent="0.3">
      <c r="A2" s="48" t="s">
        <v>109</v>
      </c>
      <c r="B2" s="27"/>
      <c r="C2" s="27"/>
      <c r="D2" s="27"/>
      <c r="E2" s="27"/>
      <c r="F2" s="27"/>
      <c r="G2" s="27"/>
      <c r="H2" s="27"/>
    </row>
    <row r="3" spans="1:8" outlineLevel="1" x14ac:dyDescent="0.3"/>
    <row r="4" spans="1:8" outlineLevel="1" x14ac:dyDescent="0.3">
      <c r="A4" s="28" t="s">
        <v>110</v>
      </c>
      <c r="B4" s="26"/>
      <c r="C4" s="26"/>
      <c r="D4" s="26"/>
      <c r="E4" s="26"/>
      <c r="F4" s="26"/>
      <c r="G4" s="26"/>
      <c r="H4" s="26"/>
    </row>
    <row r="5" spans="1:8" outlineLevel="2" x14ac:dyDescent="0.3"/>
    <row r="6" spans="1:8" ht="14.5" outlineLevel="2" x14ac:dyDescent="0.35">
      <c r="A6" s="52" t="s">
        <v>111</v>
      </c>
      <c r="B6" s="19"/>
      <c r="C6" s="19"/>
      <c r="D6" s="19"/>
      <c r="E6" s="19"/>
      <c r="F6" s="19"/>
      <c r="G6" s="19"/>
      <c r="H6" s="19"/>
    </row>
    <row r="7" spans="1:8" ht="14.5" outlineLevel="2" x14ac:dyDescent="0.35">
      <c r="A7" s="6"/>
    </row>
    <row r="8" spans="1:8" outlineLevel="2" x14ac:dyDescent="0.3">
      <c r="A8" s="1" t="str">
        <f>'Summary of inputs'!A$34</f>
        <v>Household properties connected for Surface Water Drainage</v>
      </c>
      <c r="B8" s="1" t="str">
        <f>'Summary of inputs'!B$34</f>
        <v>nr</v>
      </c>
      <c r="C8" s="1">
        <f>'Summary of inputs'!C$34</f>
        <v>0</v>
      </c>
    </row>
    <row r="9" spans="1:8" outlineLevel="2" x14ac:dyDescent="0.3">
      <c r="A9" t="s">
        <v>152</v>
      </c>
      <c r="B9" t="s">
        <v>82</v>
      </c>
      <c r="C9" s="15">
        <f>'Charges schedule'!$D$14</f>
        <v>27</v>
      </c>
    </row>
    <row r="10" spans="1:8" outlineLevel="2" x14ac:dyDescent="0.3">
      <c r="A10" t="s">
        <v>153</v>
      </c>
      <c r="B10" t="s">
        <v>82</v>
      </c>
      <c r="C10" s="15">
        <f>'Charges schedule'!$E$14</f>
        <v>24.999999999999996</v>
      </c>
    </row>
    <row r="11" spans="1:8" ht="14.5" outlineLevel="2" thickBot="1" x14ac:dyDescent="0.35">
      <c r="A11" s="20" t="s">
        <v>154</v>
      </c>
      <c r="B11" s="20" t="s">
        <v>114</v>
      </c>
      <c r="C11" s="21">
        <f>C8 * ( C9 + C10 )</f>
        <v>0</v>
      </c>
    </row>
    <row r="12" spans="1:8" outlineLevel="2" x14ac:dyDescent="0.3">
      <c r="C12" s="15"/>
    </row>
    <row r="13" spans="1:8" outlineLevel="2" x14ac:dyDescent="0.3">
      <c r="A13" s="1" t="str">
        <f>'Summary of inputs'!A$35</f>
        <v>Household properties not connected for Surface Water Drainage</v>
      </c>
      <c r="B13" s="1" t="str">
        <f>'Summary of inputs'!B$35</f>
        <v>nr</v>
      </c>
      <c r="C13" s="1">
        <f>'Summary of inputs'!C$35</f>
        <v>400</v>
      </c>
    </row>
    <row r="14" spans="1:8" outlineLevel="2" x14ac:dyDescent="0.3">
      <c r="A14" t="s">
        <v>153</v>
      </c>
      <c r="B14" t="s">
        <v>82</v>
      </c>
      <c r="C14" s="15">
        <f>'Charges schedule'!$E$14</f>
        <v>24.999999999999996</v>
      </c>
    </row>
    <row r="15" spans="1:8" ht="14.5" outlineLevel="2" thickBot="1" x14ac:dyDescent="0.35">
      <c r="A15" s="20" t="s">
        <v>155</v>
      </c>
      <c r="B15" s="20" t="s">
        <v>114</v>
      </c>
      <c r="C15" s="21">
        <f>C13 * C14</f>
        <v>9999.9999999999982</v>
      </c>
    </row>
    <row r="16" spans="1:8" outlineLevel="2" x14ac:dyDescent="0.3"/>
    <row r="17" spans="1:8" outlineLevel="2" x14ac:dyDescent="0.3">
      <c r="A17" t="str">
        <f>A$11</f>
        <v>Total fixed charge households connected for Surface Water Drainage</v>
      </c>
      <c r="B17" t="str">
        <f t="shared" ref="B17:C17" si="0">B$11</f>
        <v>£</v>
      </c>
      <c r="C17" s="5">
        <f t="shared" si="0"/>
        <v>0</v>
      </c>
    </row>
    <row r="18" spans="1:8" outlineLevel="2" x14ac:dyDescent="0.3">
      <c r="A18" t="str">
        <f>A$15</f>
        <v xml:space="preserve">Total fixed charge households not connected for Surface Water Drainage  </v>
      </c>
      <c r="B18" t="str">
        <f t="shared" ref="B18:C18" si="1">B$15</f>
        <v>£</v>
      </c>
      <c r="C18" s="5">
        <f t="shared" si="1"/>
        <v>9999.9999999999982</v>
      </c>
    </row>
    <row r="19" spans="1:8" ht="14.5" outlineLevel="2" thickBot="1" x14ac:dyDescent="0.35">
      <c r="A19" s="20" t="s">
        <v>156</v>
      </c>
      <c r="B19" s="20" t="s">
        <v>114</v>
      </c>
      <c r="C19" s="21">
        <f>SUM(C17:C18)</f>
        <v>9999.9999999999982</v>
      </c>
    </row>
    <row r="20" spans="1:8" outlineLevel="2" x14ac:dyDescent="0.3"/>
    <row r="21" spans="1:8" ht="14.5" outlineLevel="2" x14ac:dyDescent="0.35">
      <c r="A21" s="52" t="s">
        <v>115</v>
      </c>
      <c r="B21" s="19"/>
      <c r="C21" s="19"/>
      <c r="D21" s="19"/>
      <c r="E21" s="19"/>
      <c r="F21" s="19"/>
      <c r="G21" s="19"/>
      <c r="H21" s="19"/>
    </row>
    <row r="22" spans="1:8" outlineLevel="2" x14ac:dyDescent="0.3"/>
    <row r="23" spans="1:8" outlineLevel="2" x14ac:dyDescent="0.3">
      <c r="A23" t="str">
        <f>'Summary of inputs'!A$36</f>
        <v>Household discharged volume per year</v>
      </c>
      <c r="B23" t="str">
        <f>'Summary of inputs'!B$36</f>
        <v>m³</v>
      </c>
      <c r="C23" s="5">
        <f>'Summary of inputs'!C$36</f>
        <v>34096.544999999998</v>
      </c>
    </row>
    <row r="24" spans="1:8" outlineLevel="2" x14ac:dyDescent="0.3">
      <c r="A24" t="s">
        <v>119</v>
      </c>
      <c r="B24" t="s">
        <v>84</v>
      </c>
      <c r="C24" s="14">
        <f>'Charges schedule'!$C$15</f>
        <v>2.5169000000000001</v>
      </c>
    </row>
    <row r="25" spans="1:8" ht="14.5" outlineLevel="2" thickBot="1" x14ac:dyDescent="0.35">
      <c r="A25" s="20" t="s">
        <v>120</v>
      </c>
      <c r="B25" s="20" t="s">
        <v>114</v>
      </c>
      <c r="C25" s="23">
        <f>C23*C24</f>
        <v>85817.594110499995</v>
      </c>
    </row>
    <row r="26" spans="1:8" outlineLevel="2" x14ac:dyDescent="0.3"/>
    <row r="27" spans="1:8" ht="14.5" outlineLevel="2" x14ac:dyDescent="0.35">
      <c r="A27" s="52" t="s">
        <v>121</v>
      </c>
      <c r="B27" s="19"/>
      <c r="C27" s="19"/>
      <c r="D27" s="19"/>
      <c r="E27" s="19"/>
      <c r="F27" s="19"/>
      <c r="G27" s="19"/>
      <c r="H27" s="19"/>
    </row>
    <row r="28" spans="1:8" outlineLevel="2" x14ac:dyDescent="0.3"/>
    <row r="29" spans="1:8" outlineLevel="2" x14ac:dyDescent="0.3">
      <c r="A29" t="str">
        <f>A$19</f>
        <v xml:space="preserve">Total fixed charge household </v>
      </c>
      <c r="B29" t="str">
        <f>B$19</f>
        <v>£</v>
      </c>
      <c r="C29" s="31">
        <f>C19</f>
        <v>9999.9999999999982</v>
      </c>
    </row>
    <row r="30" spans="1:8" outlineLevel="2" x14ac:dyDescent="0.3">
      <c r="A30" t="str">
        <f>A$25</f>
        <v>Total volumetric charge household</v>
      </c>
      <c r="B30" t="str">
        <f t="shared" ref="B30" si="2">B$25</f>
        <v>£</v>
      </c>
      <c r="C30" s="5">
        <f>C$25</f>
        <v>85817.594110499995</v>
      </c>
    </row>
    <row r="31" spans="1:8" ht="14.5" outlineLevel="2" thickBot="1" x14ac:dyDescent="0.35">
      <c r="A31" s="24" t="s">
        <v>157</v>
      </c>
      <c r="B31" s="24" t="s">
        <v>114</v>
      </c>
      <c r="C31" s="25">
        <f>SUM(C29:C30)</f>
        <v>95817.594110499995</v>
      </c>
    </row>
    <row r="32" spans="1:8" ht="14.5" outlineLevel="1" thickTop="1" x14ac:dyDescent="0.3"/>
    <row r="33" spans="1:8" outlineLevel="1" x14ac:dyDescent="0.3">
      <c r="A33" s="28" t="s">
        <v>123</v>
      </c>
      <c r="B33" s="26"/>
      <c r="C33" s="26"/>
      <c r="D33" s="26"/>
      <c r="E33" s="26"/>
      <c r="F33" s="26"/>
      <c r="G33" s="26"/>
      <c r="H33" s="26"/>
    </row>
    <row r="34" spans="1:8" outlineLevel="2" x14ac:dyDescent="0.3"/>
    <row r="35" spans="1:8" ht="14.5" outlineLevel="2" x14ac:dyDescent="0.35">
      <c r="A35" s="52" t="s">
        <v>111</v>
      </c>
      <c r="B35" s="19"/>
      <c r="C35" s="19"/>
      <c r="D35" s="19"/>
      <c r="E35" s="19"/>
      <c r="F35" s="19"/>
      <c r="G35" s="19"/>
      <c r="H35" s="19"/>
    </row>
    <row r="36" spans="1:8" ht="14.5" outlineLevel="2" x14ac:dyDescent="0.35">
      <c r="A36" s="6"/>
    </row>
    <row r="37" spans="1:8" outlineLevel="2" x14ac:dyDescent="0.3">
      <c r="A37" s="1" t="str">
        <f>'Summary of inputs'!A$37</f>
        <v>Non-household properties connected for Surface Water Drainage</v>
      </c>
      <c r="B37" s="1" t="str">
        <f>'Summary of inputs'!B$37</f>
        <v>nr</v>
      </c>
      <c r="C37" s="1">
        <f>'Summary of inputs'!C$37</f>
        <v>0</v>
      </c>
    </row>
    <row r="38" spans="1:8" outlineLevel="2" x14ac:dyDescent="0.3">
      <c r="A38" t="s">
        <v>158</v>
      </c>
      <c r="B38" t="s">
        <v>82</v>
      </c>
      <c r="C38" s="15">
        <f>'Charges schedule'!$D$30</f>
        <v>27</v>
      </c>
    </row>
    <row r="39" spans="1:8" outlineLevel="2" x14ac:dyDescent="0.3">
      <c r="A39" t="s">
        <v>159</v>
      </c>
      <c r="B39" t="s">
        <v>82</v>
      </c>
      <c r="C39" s="15">
        <f>'Charges schedule'!$E$30</f>
        <v>24.999999999999996</v>
      </c>
    </row>
    <row r="40" spans="1:8" ht="14.5" outlineLevel="2" thickBot="1" x14ac:dyDescent="0.35">
      <c r="A40" s="20" t="s">
        <v>160</v>
      </c>
      <c r="B40" s="20" t="s">
        <v>114</v>
      </c>
      <c r="C40" s="21">
        <f>C37 * ( C38 + C39 )</f>
        <v>0</v>
      </c>
    </row>
    <row r="41" spans="1:8" outlineLevel="2" x14ac:dyDescent="0.3">
      <c r="C41" s="22"/>
    </row>
    <row r="42" spans="1:8" outlineLevel="2" x14ac:dyDescent="0.3">
      <c r="A42" s="1" t="str">
        <f>'Summary of inputs'!A$38</f>
        <v>Non-household properties not connected for Surface Water Drainage</v>
      </c>
      <c r="B42" s="1" t="str">
        <f>'Summary of inputs'!B$38</f>
        <v>nr</v>
      </c>
      <c r="C42" s="1">
        <f>'Summary of inputs'!C$38</f>
        <v>10</v>
      </c>
    </row>
    <row r="43" spans="1:8" outlineLevel="2" x14ac:dyDescent="0.3">
      <c r="A43" t="s">
        <v>159</v>
      </c>
      <c r="B43" t="s">
        <v>82</v>
      </c>
      <c r="C43" s="15">
        <f>'Charges schedule'!$E$30</f>
        <v>24.999999999999996</v>
      </c>
    </row>
    <row r="44" spans="1:8" ht="14.5" outlineLevel="2" thickBot="1" x14ac:dyDescent="0.35">
      <c r="A44" s="20" t="s">
        <v>161</v>
      </c>
      <c r="B44" s="20" t="s">
        <v>114</v>
      </c>
      <c r="C44" s="21">
        <f>C42*C43</f>
        <v>249.99999999999997</v>
      </c>
    </row>
    <row r="45" spans="1:8" outlineLevel="2" x14ac:dyDescent="0.3"/>
    <row r="46" spans="1:8" outlineLevel="2" x14ac:dyDescent="0.3">
      <c r="A46" t="str">
        <f>A$40</f>
        <v>Total fixed charge non-households connected for Surface Water Drainage</v>
      </c>
      <c r="B46" t="str">
        <f t="shared" ref="B46" si="3">B$40</f>
        <v>£</v>
      </c>
      <c r="C46" s="31">
        <f>C$40</f>
        <v>0</v>
      </c>
    </row>
    <row r="47" spans="1:8" outlineLevel="2" x14ac:dyDescent="0.3">
      <c r="A47" t="str">
        <f>A$44</f>
        <v>Total fixed charge non-households not connected for Surface Water Drainage</v>
      </c>
      <c r="B47" t="str">
        <f t="shared" ref="B47:C47" si="4">B$44</f>
        <v>£</v>
      </c>
      <c r="C47">
        <f t="shared" si="4"/>
        <v>249.99999999999997</v>
      </c>
    </row>
    <row r="48" spans="1:8" ht="14.5" outlineLevel="2" thickBot="1" x14ac:dyDescent="0.35">
      <c r="A48" s="20" t="s">
        <v>124</v>
      </c>
      <c r="B48" s="20" t="s">
        <v>114</v>
      </c>
      <c r="C48" s="21">
        <f>C46 + C47</f>
        <v>249.99999999999997</v>
      </c>
    </row>
    <row r="49" spans="1:8" outlineLevel="2" x14ac:dyDescent="0.3"/>
    <row r="50" spans="1:8" ht="14.5" outlineLevel="2" x14ac:dyDescent="0.35">
      <c r="A50" s="52" t="s">
        <v>115</v>
      </c>
      <c r="B50" s="19"/>
      <c r="C50" s="19"/>
      <c r="D50" s="19"/>
      <c r="E50" s="19"/>
      <c r="F50" s="19"/>
      <c r="G50" s="19"/>
      <c r="H50" s="19"/>
    </row>
    <row r="51" spans="1:8" outlineLevel="2" x14ac:dyDescent="0.3"/>
    <row r="52" spans="1:8" outlineLevel="2" x14ac:dyDescent="0.3">
      <c r="A52" t="str">
        <f>'Summary of inputs'!A$39</f>
        <v>Non-household discharged volume per year</v>
      </c>
      <c r="B52" t="str">
        <f>'Summary of inputs'!B$39</f>
        <v>m³</v>
      </c>
      <c r="C52" s="5">
        <f>'Summary of inputs'!C$39</f>
        <v>897.75</v>
      </c>
    </row>
    <row r="53" spans="1:8" outlineLevel="2" x14ac:dyDescent="0.3">
      <c r="A53" t="s">
        <v>126</v>
      </c>
      <c r="B53" t="s">
        <v>84</v>
      </c>
      <c r="C53" s="14">
        <f>'Charges schedule'!$C$31</f>
        <v>2.5524</v>
      </c>
    </row>
    <row r="54" spans="1:8" ht="14.5" outlineLevel="2" thickBot="1" x14ac:dyDescent="0.35">
      <c r="A54" s="20" t="s">
        <v>127</v>
      </c>
      <c r="B54" s="20" t="s">
        <v>114</v>
      </c>
      <c r="C54" s="23">
        <f>C52*C53</f>
        <v>2291.4171000000001</v>
      </c>
    </row>
    <row r="55" spans="1:8" outlineLevel="2" x14ac:dyDescent="0.3"/>
    <row r="56" spans="1:8" ht="14.5" outlineLevel="2" x14ac:dyDescent="0.35">
      <c r="A56" s="52" t="s">
        <v>128</v>
      </c>
      <c r="B56" s="19"/>
      <c r="C56" s="19"/>
      <c r="D56" s="19"/>
      <c r="E56" s="19"/>
      <c r="F56" s="19"/>
      <c r="G56" s="19"/>
      <c r="H56" s="19"/>
    </row>
    <row r="57" spans="1:8" outlineLevel="2" x14ac:dyDescent="0.3"/>
    <row r="58" spans="1:8" outlineLevel="2" x14ac:dyDescent="0.3">
      <c r="A58" s="31" t="str">
        <f t="shared" ref="A58:B58" si="5">A$48</f>
        <v>Total fixed charge non-household</v>
      </c>
      <c r="B58" s="31" t="str">
        <f t="shared" si="5"/>
        <v>£</v>
      </c>
      <c r="C58" s="31">
        <f>C$48</f>
        <v>249.99999999999997</v>
      </c>
    </row>
    <row r="59" spans="1:8" outlineLevel="2" x14ac:dyDescent="0.3">
      <c r="A59" s="5" t="str">
        <f>A$54</f>
        <v>Total volumetric charge non-household</v>
      </c>
      <c r="B59" s="5" t="str">
        <f t="shared" ref="B59" si="6">B$54</f>
        <v>£</v>
      </c>
      <c r="C59" s="5">
        <f>C$54</f>
        <v>2291.4171000000001</v>
      </c>
    </row>
    <row r="60" spans="1:8" ht="14.5" outlineLevel="2" thickBot="1" x14ac:dyDescent="0.35">
      <c r="A60" s="24" t="s">
        <v>162</v>
      </c>
      <c r="B60" s="24" t="s">
        <v>114</v>
      </c>
      <c r="C60" s="25">
        <f>SUM(C58:C59)</f>
        <v>2541.4171000000001</v>
      </c>
    </row>
    <row r="61" spans="1:8" ht="14.5" outlineLevel="2" thickTop="1" x14ac:dyDescent="0.3"/>
    <row r="62" spans="1:8" outlineLevel="1" x14ac:dyDescent="0.3"/>
    <row r="63" spans="1:8" outlineLevel="1" x14ac:dyDescent="0.3">
      <c r="A63" s="28" t="s">
        <v>130</v>
      </c>
      <c r="B63" s="26"/>
      <c r="C63" s="26"/>
      <c r="D63" s="26"/>
      <c r="E63" s="26"/>
      <c r="F63" s="26"/>
      <c r="G63" s="26"/>
      <c r="H63" s="26"/>
    </row>
    <row r="64" spans="1:8" outlineLevel="2" x14ac:dyDescent="0.3">
      <c r="A64" t="str">
        <f>'Inputs NAV'!A$41</f>
        <v>Bulk meters</v>
      </c>
      <c r="B64" t="str">
        <f>'Inputs NAV'!B$41</f>
        <v>nr</v>
      </c>
      <c r="C64">
        <f>'Inputs NAV'!C$41</f>
        <v>0</v>
      </c>
    </row>
    <row r="65" spans="1:8" outlineLevel="2" x14ac:dyDescent="0.3">
      <c r="A65" s="15" t="str">
        <f>'Charges schedule'!A38</f>
        <v>Bulk meter charge</v>
      </c>
      <c r="B65" s="15" t="str">
        <f>'Charges schedule'!B38</f>
        <v>£ per meter</v>
      </c>
      <c r="C65" s="15">
        <f>'Charges schedule'!$C$38</f>
        <v>56</v>
      </c>
    </row>
    <row r="66" spans="1:8" ht="14.5" outlineLevel="2" thickBot="1" x14ac:dyDescent="0.35">
      <c r="A66" s="106" t="s">
        <v>163</v>
      </c>
      <c r="B66" s="106" t="s">
        <v>114</v>
      </c>
      <c r="C66" s="106">
        <f>C64 * C65</f>
        <v>0</v>
      </c>
    </row>
    <row r="67" spans="1:8" ht="14.5" outlineLevel="1" thickTop="1" x14ac:dyDescent="0.3"/>
    <row r="68" spans="1:8" outlineLevel="1" x14ac:dyDescent="0.3">
      <c r="A68" s="28" t="s">
        <v>132</v>
      </c>
      <c r="B68" s="26"/>
      <c r="C68" s="26"/>
      <c r="D68" s="26"/>
      <c r="E68" s="26"/>
      <c r="F68" s="26"/>
      <c r="G68" s="26"/>
      <c r="H68" s="26"/>
    </row>
    <row r="69" spans="1:8" outlineLevel="2" x14ac:dyDescent="0.3">
      <c r="C69" s="5"/>
      <c r="D69" s="5"/>
      <c r="E69" s="5"/>
      <c r="F69" s="5"/>
      <c r="G69" s="5"/>
      <c r="H69" s="5"/>
    </row>
    <row r="70" spans="1:8" ht="14.5" outlineLevel="2" x14ac:dyDescent="0.35">
      <c r="A70" s="16" t="s">
        <v>133</v>
      </c>
      <c r="B70" s="17"/>
      <c r="C70" s="17"/>
      <c r="D70" s="17"/>
      <c r="E70" s="17"/>
      <c r="F70" s="17"/>
      <c r="G70" s="17"/>
      <c r="H70" s="17"/>
    </row>
    <row r="71" spans="1:8" outlineLevel="2" x14ac:dyDescent="0.3"/>
    <row r="72" spans="1:8" outlineLevel="2" x14ac:dyDescent="0.3">
      <c r="A72" t="str">
        <f>A$31</f>
        <v>Total wastewater charges household</v>
      </c>
      <c r="B72" t="str">
        <f t="shared" ref="B72:C72" si="7">B$31</f>
        <v>£</v>
      </c>
      <c r="C72" s="5">
        <f t="shared" si="7"/>
        <v>95817.594110499995</v>
      </c>
    </row>
    <row r="73" spans="1:8" outlineLevel="2" x14ac:dyDescent="0.3">
      <c r="A73" t="str">
        <f>A$60</f>
        <v>Total wastewater charges non-household</v>
      </c>
      <c r="B73" t="str">
        <f t="shared" ref="B73:C73" si="8">B$60</f>
        <v>£</v>
      </c>
      <c r="C73" s="5">
        <f t="shared" si="8"/>
        <v>2541.4171000000001</v>
      </c>
    </row>
    <row r="74" spans="1:8" outlineLevel="2" x14ac:dyDescent="0.3">
      <c r="A74" s="15" t="str">
        <f>A$66</f>
        <v>Total wastewater bulk meter charges</v>
      </c>
      <c r="B74" s="15" t="str">
        <f t="shared" ref="B74:C74" si="9">B$66</f>
        <v>£</v>
      </c>
      <c r="C74" s="15">
        <f t="shared" si="9"/>
        <v>0</v>
      </c>
    </row>
    <row r="75" spans="1:8" ht="14.5" outlineLevel="2" thickBot="1" x14ac:dyDescent="0.35">
      <c r="A75" s="20" t="s">
        <v>164</v>
      </c>
      <c r="B75" s="20" t="s">
        <v>114</v>
      </c>
      <c r="C75" s="23">
        <f>SUM(C72:C74)</f>
        <v>98359.011210500001</v>
      </c>
    </row>
    <row r="76" spans="1:8" outlineLevel="2" x14ac:dyDescent="0.3"/>
    <row r="77" spans="1:8" ht="14.5" outlineLevel="2" x14ac:dyDescent="0.35">
      <c r="A77" s="16" t="s">
        <v>135</v>
      </c>
      <c r="B77" s="17"/>
      <c r="C77" s="17"/>
      <c r="D77" s="17"/>
      <c r="E77" s="17"/>
      <c r="F77" s="17"/>
      <c r="G77" s="17"/>
      <c r="H77" s="17"/>
    </row>
    <row r="78" spans="1:8" outlineLevel="2" x14ac:dyDescent="0.3"/>
    <row r="79" spans="1:8" outlineLevel="2" x14ac:dyDescent="0.3">
      <c r="A79" t="str">
        <f>'Summary of inputs'!A$36</f>
        <v>Household discharged volume per year</v>
      </c>
      <c r="B79" t="str">
        <f>'Summary of inputs'!B$36</f>
        <v>m³</v>
      </c>
      <c r="C79" s="5">
        <f>'Summary of inputs'!C$36</f>
        <v>34096.544999999998</v>
      </c>
    </row>
    <row r="80" spans="1:8" outlineLevel="2" x14ac:dyDescent="0.3">
      <c r="A80" t="str">
        <f>'Summary of inputs'!A$39</f>
        <v>Non-household discharged volume per year</v>
      </c>
      <c r="B80" t="str">
        <f>'Summary of inputs'!B$39</f>
        <v>m³</v>
      </c>
      <c r="C80" s="5">
        <f>'Summary of inputs'!C$39</f>
        <v>897.75</v>
      </c>
    </row>
    <row r="81" spans="1:8" ht="14.5" outlineLevel="2" thickBot="1" x14ac:dyDescent="0.35">
      <c r="A81" s="20" t="s">
        <v>165</v>
      </c>
      <c r="B81" s="20" t="s">
        <v>58</v>
      </c>
      <c r="C81" s="21">
        <f>SUM(C79:C80)</f>
        <v>34994.294999999998</v>
      </c>
    </row>
    <row r="82" spans="1:8" outlineLevel="2" x14ac:dyDescent="0.3">
      <c r="C82" s="22"/>
    </row>
    <row r="83" spans="1:8" ht="14.5" outlineLevel="2" x14ac:dyDescent="0.35">
      <c r="A83" s="52" t="s">
        <v>109</v>
      </c>
      <c r="B83" s="19"/>
      <c r="C83" s="19"/>
      <c r="D83" s="19"/>
      <c r="E83" s="19"/>
      <c r="F83" s="19"/>
      <c r="G83" s="19"/>
      <c r="H83" s="19"/>
    </row>
    <row r="84" spans="1:8" outlineLevel="2" x14ac:dyDescent="0.3"/>
    <row r="85" spans="1:8" outlineLevel="2" x14ac:dyDescent="0.3">
      <c r="A85" t="str">
        <f>A$75</f>
        <v>Total wastewater charges</v>
      </c>
      <c r="B85" t="str">
        <f t="shared" ref="B85" si="10">B$75</f>
        <v>£</v>
      </c>
      <c r="C85" s="5">
        <f>C$75</f>
        <v>98359.011210500001</v>
      </c>
    </row>
    <row r="86" spans="1:8" outlineLevel="2" x14ac:dyDescent="0.3">
      <c r="A86" t="str">
        <f>A$81</f>
        <v>Total wastewater volume discharged</v>
      </c>
      <c r="B86" t="str">
        <f>B$81</f>
        <v>m³</v>
      </c>
      <c r="C86" s="5">
        <f>C$81</f>
        <v>34994.294999999998</v>
      </c>
    </row>
    <row r="87" spans="1:8" ht="14.5" outlineLevel="2" thickBot="1" x14ac:dyDescent="0.35">
      <c r="A87" s="24" t="s">
        <v>166</v>
      </c>
      <c r="B87" s="24" t="s">
        <v>84</v>
      </c>
      <c r="C87" s="36">
        <f>IF(C85=0,0,(C85/C86))</f>
        <v>2.8107156098015404</v>
      </c>
    </row>
    <row r="88" spans="1:8" ht="14.5" outlineLevel="1" thickTop="1" x14ac:dyDescent="0.3"/>
    <row r="90" spans="1:8" x14ac:dyDescent="0.3">
      <c r="A90" s="48" t="s">
        <v>138</v>
      </c>
      <c r="B90" s="27"/>
      <c r="C90" s="27"/>
      <c r="D90" s="27"/>
      <c r="E90" s="27"/>
      <c r="F90" s="27"/>
      <c r="G90" s="27"/>
      <c r="H90" s="27"/>
    </row>
    <row r="91" spans="1:8" outlineLevel="1" x14ac:dyDescent="0.3"/>
    <row r="92" spans="1:8" ht="14.5" outlineLevel="1" x14ac:dyDescent="0.35">
      <c r="A92" s="16" t="s">
        <v>167</v>
      </c>
      <c r="B92" s="17"/>
      <c r="C92" s="17"/>
      <c r="D92" s="17"/>
      <c r="E92" s="17"/>
      <c r="F92" s="17"/>
      <c r="G92" s="17"/>
      <c r="H92" s="17"/>
    </row>
    <row r="93" spans="1:8" outlineLevel="1" x14ac:dyDescent="0.3"/>
    <row r="94" spans="1:8" outlineLevel="1" x14ac:dyDescent="0.3">
      <c r="A94" t="str">
        <f>'Summary of inputs'!A$34</f>
        <v>Household properties connected for Surface Water Drainage</v>
      </c>
      <c r="B94" t="str">
        <f>'Summary of inputs'!B$34</f>
        <v>nr</v>
      </c>
      <c r="C94">
        <f>'Summary of inputs'!C$34</f>
        <v>0</v>
      </c>
    </row>
    <row r="95" spans="1:8" outlineLevel="1" x14ac:dyDescent="0.3">
      <c r="A95" t="str">
        <f>'Summary of inputs'!A$35</f>
        <v>Household properties not connected for Surface Water Drainage</v>
      </c>
      <c r="B95" t="str">
        <f>'Summary of inputs'!B$35</f>
        <v>nr</v>
      </c>
      <c r="C95">
        <f>'Summary of inputs'!C$35</f>
        <v>400</v>
      </c>
    </row>
    <row r="96" spans="1:8" outlineLevel="1" x14ac:dyDescent="0.3">
      <c r="A96" t="str">
        <f>'Summary of inputs'!A$37</f>
        <v>Non-household properties connected for Surface Water Drainage</v>
      </c>
      <c r="B96" t="str">
        <f>'Summary of inputs'!B$37</f>
        <v>nr</v>
      </c>
      <c r="C96">
        <f>'Summary of inputs'!C$37</f>
        <v>0</v>
      </c>
    </row>
    <row r="97" spans="1:8" outlineLevel="1" x14ac:dyDescent="0.3">
      <c r="A97" t="str">
        <f>'Summary of inputs'!A$38</f>
        <v>Non-household properties not connected for Surface Water Drainage</v>
      </c>
      <c r="B97" t="str">
        <f>'Summary of inputs'!B$38</f>
        <v>nr</v>
      </c>
      <c r="C97">
        <f>'Summary of inputs'!C$38</f>
        <v>10</v>
      </c>
    </row>
    <row r="98" spans="1:8" outlineLevel="1" x14ac:dyDescent="0.3">
      <c r="A98" t="s">
        <v>140</v>
      </c>
      <c r="B98" t="s">
        <v>56</v>
      </c>
      <c r="C98">
        <f>SUM(C94:C97)</f>
        <v>410</v>
      </c>
    </row>
    <row r="99" spans="1:8" outlineLevel="1" x14ac:dyDescent="0.3"/>
    <row r="100" spans="1:8" outlineLevel="1" x14ac:dyDescent="0.3">
      <c r="A100" t="str">
        <f>A$98</f>
        <v>Total properties</v>
      </c>
      <c r="B100" t="str">
        <f t="shared" ref="B100" si="11">B$98</f>
        <v>nr</v>
      </c>
      <c r="C100">
        <f>C$98</f>
        <v>410</v>
      </c>
    </row>
    <row r="101" spans="1:8" outlineLevel="1" x14ac:dyDescent="0.3">
      <c r="A101" t="s">
        <v>168</v>
      </c>
      <c r="B101" t="s">
        <v>101</v>
      </c>
      <c r="C101" s="32">
        <f>SUM('Charges schedule'!$D$48:$F$48)</f>
        <v>12.86</v>
      </c>
    </row>
    <row r="102" spans="1:8" ht="14.5" outlineLevel="1" thickBot="1" x14ac:dyDescent="0.35">
      <c r="A102" s="20" t="s">
        <v>169</v>
      </c>
      <c r="B102" s="20" t="s">
        <v>114</v>
      </c>
      <c r="C102" s="21">
        <f>C100 * C101</f>
        <v>5272.5999999999995</v>
      </c>
    </row>
    <row r="103" spans="1:8" outlineLevel="1" x14ac:dyDescent="0.3"/>
    <row r="104" spans="1:8" ht="14.5" outlineLevel="1" x14ac:dyDescent="0.35">
      <c r="A104" s="16" t="s">
        <v>170</v>
      </c>
      <c r="B104" s="17"/>
      <c r="C104" s="17"/>
      <c r="D104" s="17"/>
      <c r="E104" s="17"/>
      <c r="F104" s="17"/>
      <c r="G104" s="17"/>
      <c r="H104" s="17"/>
    </row>
    <row r="105" spans="1:8" outlineLevel="1" x14ac:dyDescent="0.3"/>
    <row r="106" spans="1:8" outlineLevel="1" x14ac:dyDescent="0.3">
      <c r="A106" t="str">
        <f>'Summary of inputs'!A$40</f>
        <v>Utilised capacity of sewerage pumping stations</v>
      </c>
      <c r="B106" t="str">
        <f>'Summary of inputs'!B$40</f>
        <v>kW</v>
      </c>
      <c r="C106">
        <f>'Summary of inputs'!C$40</f>
        <v>10</v>
      </c>
    </row>
    <row r="107" spans="1:8" outlineLevel="1" x14ac:dyDescent="0.3">
      <c r="A107" t="s">
        <v>171</v>
      </c>
      <c r="B107" t="s">
        <v>106</v>
      </c>
      <c r="C107" s="32">
        <f>'Charges schedule'!$D$53</f>
        <v>545.24</v>
      </c>
    </row>
    <row r="108" spans="1:8" ht="14.5" outlineLevel="1" thickBot="1" x14ac:dyDescent="0.35">
      <c r="A108" s="20" t="s">
        <v>172</v>
      </c>
      <c r="B108" s="20" t="s">
        <v>114</v>
      </c>
      <c r="C108" s="34">
        <f>C106*C107</f>
        <v>5452.4</v>
      </c>
    </row>
    <row r="109" spans="1:8" outlineLevel="1" x14ac:dyDescent="0.3"/>
    <row r="110" spans="1:8" ht="14.5" outlineLevel="1" x14ac:dyDescent="0.35">
      <c r="A110" s="52" t="s">
        <v>146</v>
      </c>
      <c r="B110" s="19"/>
      <c r="C110" s="19"/>
      <c r="D110" s="19"/>
      <c r="E110" s="19"/>
      <c r="F110" s="19"/>
      <c r="G110" s="19"/>
      <c r="H110" s="19"/>
    </row>
    <row r="111" spans="1:8" outlineLevel="1" x14ac:dyDescent="0.3">
      <c r="A111" t="str">
        <f>A$102</f>
        <v>Total avoided cost sewers</v>
      </c>
      <c r="B111" t="str">
        <f t="shared" ref="B111:C111" si="12">B$102</f>
        <v>£</v>
      </c>
      <c r="C111" s="30">
        <f t="shared" si="12"/>
        <v>5272.5999999999995</v>
      </c>
    </row>
    <row r="112" spans="1:8" outlineLevel="1" x14ac:dyDescent="0.3">
      <c r="A112" t="str">
        <f>A$108</f>
        <v>Total avoided cost sewerage pumping stations</v>
      </c>
      <c r="B112" t="str">
        <f t="shared" ref="B112:C112" si="13">B$108</f>
        <v>£</v>
      </c>
      <c r="C112" s="30">
        <f t="shared" si="13"/>
        <v>5452.4</v>
      </c>
    </row>
    <row r="113" spans="1:8" ht="14.5" outlineLevel="1" thickBot="1" x14ac:dyDescent="0.35">
      <c r="A113" s="24" t="s">
        <v>173</v>
      </c>
      <c r="B113" s="24" t="s">
        <v>114</v>
      </c>
      <c r="C113" s="35">
        <f>SUM(C111:C112)</f>
        <v>10725</v>
      </c>
    </row>
    <row r="114" spans="1:8" ht="14.5" outlineLevel="1" thickTop="1" x14ac:dyDescent="0.3"/>
    <row r="115" spans="1:8" outlineLevel="1" x14ac:dyDescent="0.3">
      <c r="A115" t="str">
        <f>A$113</f>
        <v>Total avoided costs wastewater</v>
      </c>
      <c r="B115" t="str">
        <f t="shared" ref="B115:C115" si="14">B$113</f>
        <v>£</v>
      </c>
      <c r="C115" s="30">
        <f t="shared" si="14"/>
        <v>10725</v>
      </c>
    </row>
    <row r="116" spans="1:8" outlineLevel="1" x14ac:dyDescent="0.3">
      <c r="A116" t="str">
        <f>A$81</f>
        <v>Total wastewater volume discharged</v>
      </c>
      <c r="B116" t="str">
        <f t="shared" ref="B116:C116" si="15">B$81</f>
        <v>m³</v>
      </c>
      <c r="C116" s="5">
        <f t="shared" si="15"/>
        <v>34994.294999999998</v>
      </c>
    </row>
    <row r="117" spans="1:8" ht="14.5" outlineLevel="1" thickBot="1" x14ac:dyDescent="0.35">
      <c r="A117" s="24" t="s">
        <v>174</v>
      </c>
      <c r="B117" s="24" t="s">
        <v>84</v>
      </c>
      <c r="C117" s="36">
        <f>IF(C115=0,0,(C115/C116))</f>
        <v>0.30647852742854231</v>
      </c>
    </row>
    <row r="118" spans="1:8" ht="14.5" thickTop="1" x14ac:dyDescent="0.3">
      <c r="C118" s="30"/>
    </row>
    <row r="119" spans="1:8" x14ac:dyDescent="0.3">
      <c r="A119" s="48" t="s">
        <v>149</v>
      </c>
      <c r="B119" s="27"/>
      <c r="C119" s="27"/>
      <c r="D119" s="27"/>
      <c r="E119" s="27"/>
      <c r="F119" s="27"/>
      <c r="G119" s="27"/>
      <c r="H119" s="27"/>
    </row>
    <row r="120" spans="1:8" outlineLevel="1" x14ac:dyDescent="0.3"/>
    <row r="121" spans="1:8" outlineLevel="1" x14ac:dyDescent="0.3">
      <c r="A121" t="str">
        <f>A$87</f>
        <v>Weighted average wholesale tariff wastewater</v>
      </c>
      <c r="B121" t="str">
        <f t="shared" ref="B121" si="16">B$87</f>
        <v>£ per m³</v>
      </c>
      <c r="C121" s="40">
        <f>C$87</f>
        <v>2.8107156098015404</v>
      </c>
    </row>
    <row r="122" spans="1:8" outlineLevel="1" x14ac:dyDescent="0.3">
      <c r="A122" t="str">
        <f>A$117</f>
        <v>Volumetric avoided cost wastewater</v>
      </c>
      <c r="B122" t="str">
        <f t="shared" ref="B122:C122" si="17">B$117</f>
        <v>£ per m³</v>
      </c>
      <c r="C122" s="40">
        <f t="shared" si="17"/>
        <v>0.30647852742854231</v>
      </c>
    </row>
    <row r="123" spans="1:8" ht="14.5" outlineLevel="1" thickBot="1" x14ac:dyDescent="0.35">
      <c r="A123" s="24" t="s">
        <v>175</v>
      </c>
      <c r="B123" s="24" t="s">
        <v>84</v>
      </c>
      <c r="C123" s="36">
        <f>C121 - C122</f>
        <v>2.504237082372998</v>
      </c>
    </row>
    <row r="124" spans="1:8" ht="14.5" thickTop="1" x14ac:dyDescent="0.3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FE05-EBD1-4CDB-BD21-1A2BB43867E9}">
  <sheetPr>
    <tabColor theme="5"/>
  </sheetPr>
  <dimension ref="A1:H52"/>
  <sheetViews>
    <sheetView zoomScaleNormal="100" workbookViewId="0">
      <pane ySplit="1" topLeftCell="A2" activePane="bottomLeft" state="frozen"/>
      <selection pane="bottomLeft" activeCell="C4" sqref="C4"/>
    </sheetView>
  </sheetViews>
  <sheetFormatPr defaultRowHeight="14" x14ac:dyDescent="0.3"/>
  <cols>
    <col min="1" max="1" width="45.58203125" customWidth="1"/>
    <col min="2" max="2" width="11.6640625" customWidth="1"/>
    <col min="3" max="3" width="15.9140625" customWidth="1"/>
    <col min="4" max="4" width="13.9140625" customWidth="1"/>
    <col min="5" max="5" width="16.9140625" customWidth="1"/>
    <col min="6" max="6" width="12.58203125" customWidth="1"/>
    <col min="7" max="7" width="16.5" customWidth="1"/>
    <col min="8" max="8" width="13.4140625" customWidth="1"/>
  </cols>
  <sheetData>
    <row r="1" spans="1:8" x14ac:dyDescent="0.3">
      <c r="A1" s="51" t="s">
        <v>176</v>
      </c>
      <c r="B1" s="1" t="s">
        <v>34</v>
      </c>
      <c r="C1" s="109" t="s">
        <v>54</v>
      </c>
      <c r="D1" s="110" t="s">
        <v>66</v>
      </c>
      <c r="E1" s="108" t="str">
        <f>'Summary of inputs'!D3</f>
        <v>Notes</v>
      </c>
      <c r="F1" s="108"/>
      <c r="G1" s="108"/>
      <c r="H1" s="108"/>
    </row>
    <row r="2" spans="1:8" x14ac:dyDescent="0.3">
      <c r="C2" s="43"/>
      <c r="D2" s="46"/>
    </row>
    <row r="3" spans="1:8" x14ac:dyDescent="0.3">
      <c r="A3" s="1" t="s">
        <v>177</v>
      </c>
      <c r="C3" s="43"/>
      <c r="D3" s="46"/>
    </row>
    <row r="4" spans="1:8" x14ac:dyDescent="0.3">
      <c r="A4" t="s">
        <v>178</v>
      </c>
      <c r="B4" t="s">
        <v>114</v>
      </c>
      <c r="C4" s="43">
        <f>'Water calc'!C10+'Water calc'!C34+'Water calc'!C56</f>
        <v>2106</v>
      </c>
      <c r="D4" s="46">
        <f>'Wastewater calc'!C19+'Wastewater calc'!C48+'Wastewater calc'!C66</f>
        <v>10249.999999999998</v>
      </c>
    </row>
    <row r="5" spans="1:8" x14ac:dyDescent="0.3">
      <c r="A5" t="s">
        <v>179</v>
      </c>
      <c r="B5" t="s">
        <v>114</v>
      </c>
      <c r="C5" s="43">
        <f>'Water calc'!C20+'Water calc'!C44</f>
        <v>107194.30217999998</v>
      </c>
      <c r="D5" s="46">
        <f>'Wastewater calc'!C25+'Wastewater calc'!C54</f>
        <v>88109.011210500001</v>
      </c>
    </row>
    <row r="6" spans="1:8" x14ac:dyDescent="0.3">
      <c r="A6" t="s">
        <v>180</v>
      </c>
      <c r="B6" t="s">
        <v>114</v>
      </c>
      <c r="C6" s="43">
        <f>'Water calc'!C$65</f>
        <v>109300.30217999998</v>
      </c>
      <c r="D6" s="46">
        <f>'Wastewater calc'!C$75</f>
        <v>98359.011210500001</v>
      </c>
    </row>
    <row r="7" spans="1:8" x14ac:dyDescent="0.3">
      <c r="C7" s="17"/>
      <c r="D7" s="45"/>
    </row>
    <row r="8" spans="1:8" x14ac:dyDescent="0.3">
      <c r="A8" t="str">
        <f>A$6</f>
        <v>Total wholesale charge</v>
      </c>
      <c r="B8" t="str">
        <f>B$6</f>
        <v>£</v>
      </c>
      <c r="C8" s="43">
        <f>C$6</f>
        <v>109300.30217999998</v>
      </c>
      <c r="D8" s="46">
        <f>D$6</f>
        <v>98359.011210500001</v>
      </c>
    </row>
    <row r="9" spans="1:8" x14ac:dyDescent="0.3">
      <c r="A9" t="s">
        <v>181</v>
      </c>
      <c r="B9" t="s">
        <v>58</v>
      </c>
      <c r="C9" s="43">
        <f>'Water calc'!C$71</f>
        <v>36836.1</v>
      </c>
      <c r="D9" s="46">
        <f>'Wastewater calc'!C$81</f>
        <v>34994.294999999998</v>
      </c>
    </row>
    <row r="10" spans="1:8" x14ac:dyDescent="0.3">
      <c r="A10" s="60" t="s">
        <v>177</v>
      </c>
      <c r="B10" s="60" t="s">
        <v>84</v>
      </c>
      <c r="C10" s="61">
        <f>'Water calc'!C$77</f>
        <v>2.9672061423440588</v>
      </c>
      <c r="D10" s="62">
        <f>'Wastewater calc'!C$87</f>
        <v>2.8107156098015404</v>
      </c>
    </row>
    <row r="11" spans="1:8" x14ac:dyDescent="0.3">
      <c r="C11" s="17"/>
      <c r="D11" s="45"/>
    </row>
    <row r="12" spans="1:8" x14ac:dyDescent="0.3">
      <c r="A12" s="1" t="s">
        <v>138</v>
      </c>
      <c r="C12" s="17"/>
      <c r="D12" s="45"/>
    </row>
    <row r="13" spans="1:8" ht="28" x14ac:dyDescent="0.3">
      <c r="A13" s="41" t="s">
        <v>182</v>
      </c>
      <c r="B13" t="s">
        <v>114</v>
      </c>
      <c r="C13" s="43">
        <f>'Water calc'!C$90</f>
        <v>16047.4</v>
      </c>
      <c r="D13" s="46">
        <f>'Wastewater calc'!C$102</f>
        <v>5272.5999999999995</v>
      </c>
    </row>
    <row r="14" spans="1:8" x14ac:dyDescent="0.3">
      <c r="A14" t="s">
        <v>183</v>
      </c>
      <c r="B14" t="s">
        <v>114</v>
      </c>
      <c r="C14" s="44">
        <f>'Water calc'!C$96</f>
        <v>1158.3500000000001</v>
      </c>
      <c r="D14" s="46">
        <f>'Wastewater calc'!C$108</f>
        <v>5452.4</v>
      </c>
    </row>
    <row r="15" spans="1:8" x14ac:dyDescent="0.3">
      <c r="A15" t="s">
        <v>184</v>
      </c>
      <c r="B15" t="s">
        <v>114</v>
      </c>
      <c r="C15" s="44">
        <f>SUM(C13:C14)</f>
        <v>17205.75</v>
      </c>
      <c r="D15" s="47">
        <f t="shared" ref="D15" si="0">SUM(D13:D14)</f>
        <v>10725</v>
      </c>
    </row>
    <row r="16" spans="1:8" x14ac:dyDescent="0.3">
      <c r="C16" s="17"/>
      <c r="D16" s="45"/>
    </row>
    <row r="17" spans="1:5" x14ac:dyDescent="0.3">
      <c r="A17" t="str">
        <f>A$15</f>
        <v>Total avoided costs</v>
      </c>
      <c r="B17" t="str">
        <f>B$15</f>
        <v>£</v>
      </c>
      <c r="C17" s="43">
        <f>C$15</f>
        <v>17205.75</v>
      </c>
      <c r="D17" s="46">
        <f>D$15</f>
        <v>10725</v>
      </c>
    </row>
    <row r="18" spans="1:5" x14ac:dyDescent="0.3">
      <c r="A18" t="s">
        <v>181</v>
      </c>
      <c r="B18" t="s">
        <v>58</v>
      </c>
      <c r="C18" s="43">
        <f>'Water calc'!C$71</f>
        <v>36836.1</v>
      </c>
      <c r="D18" s="46">
        <f>'Wastewater calc'!C$81</f>
        <v>34994.294999999998</v>
      </c>
    </row>
    <row r="19" spans="1:5" x14ac:dyDescent="0.3">
      <c r="A19" s="60" t="s">
        <v>184</v>
      </c>
      <c r="B19" s="60" t="s">
        <v>84</v>
      </c>
      <c r="C19" s="61">
        <f>'Water calc'!C$105</f>
        <v>0.46708934984973982</v>
      </c>
      <c r="D19" s="62">
        <f>'Wastewater calc'!C$117</f>
        <v>0.30647852742854231</v>
      </c>
    </row>
    <row r="20" spans="1:5" x14ac:dyDescent="0.3">
      <c r="C20" s="17"/>
      <c r="D20" s="45"/>
    </row>
    <row r="21" spans="1:5" x14ac:dyDescent="0.3">
      <c r="A21" s="1" t="s">
        <v>185</v>
      </c>
      <c r="C21" s="43"/>
      <c r="D21" s="46"/>
    </row>
    <row r="22" spans="1:5" x14ac:dyDescent="0.3">
      <c r="A22" t="str">
        <f>A$8</f>
        <v>Total wholesale charge</v>
      </c>
      <c r="B22" t="str">
        <f>B$8</f>
        <v>£</v>
      </c>
      <c r="C22" s="43">
        <f>C$8</f>
        <v>109300.30217999998</v>
      </c>
      <c r="D22" s="46">
        <f>D$8</f>
        <v>98359.011210500001</v>
      </c>
    </row>
    <row r="23" spans="1:5" x14ac:dyDescent="0.3">
      <c r="A23" t="str">
        <f>A$17</f>
        <v>Total avoided costs</v>
      </c>
      <c r="B23" t="str">
        <f>B$17</f>
        <v>£</v>
      </c>
      <c r="C23" s="43">
        <f>C$17</f>
        <v>17205.75</v>
      </c>
      <c r="D23" s="46">
        <f>D$17</f>
        <v>10725</v>
      </c>
    </row>
    <row r="24" spans="1:5" x14ac:dyDescent="0.3">
      <c r="A24" s="60" t="s">
        <v>186</v>
      </c>
      <c r="B24" s="60" t="s">
        <v>114</v>
      </c>
      <c r="C24" s="96">
        <f>C22-C23</f>
        <v>92094.552179999984</v>
      </c>
      <c r="D24" s="97">
        <f>D22-D23</f>
        <v>87634.011210500001</v>
      </c>
      <c r="E24" t="s">
        <v>187</v>
      </c>
    </row>
    <row r="25" spans="1:5" x14ac:dyDescent="0.3">
      <c r="C25" s="17"/>
      <c r="D25" s="45"/>
    </row>
    <row r="26" spans="1:5" ht="14.5" thickBot="1" x14ac:dyDescent="0.35">
      <c r="A26" s="63" t="s">
        <v>149</v>
      </c>
      <c r="B26" s="63" t="s">
        <v>84</v>
      </c>
      <c r="C26" s="64">
        <f>'Water calc'!C$111</f>
        <v>2.5001167924943188</v>
      </c>
      <c r="D26" s="65">
        <f>'Wastewater calc'!C$123</f>
        <v>2.504237082372998</v>
      </c>
      <c r="E26" t="s">
        <v>188</v>
      </c>
    </row>
    <row r="27" spans="1:5" ht="14.5" thickTop="1" x14ac:dyDescent="0.3"/>
    <row r="29" spans="1:5" x14ac:dyDescent="0.3">
      <c r="A29" s="1"/>
    </row>
    <row r="38" spans="1:1" x14ac:dyDescent="0.3">
      <c r="A38" s="1"/>
    </row>
    <row r="39" spans="1:1" x14ac:dyDescent="0.3">
      <c r="A39" s="41"/>
    </row>
    <row r="47" spans="1:1" x14ac:dyDescent="0.3">
      <c r="A47" s="1"/>
    </row>
    <row r="52" spans="1:2" x14ac:dyDescent="0.3">
      <c r="A52" s="1"/>
      <c r="B52" s="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229C61E-1BA4-4FA7-B874-76F8678C9E82}">
            <xm:f>AND('Inputs NAV'!$C$11="No",'Inputs NAV'!$C$12="No")</xm:f>
            <x14:dxf>
              <font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D1:D26</xm:sqref>
        </x14:conditionalFormatting>
        <x14:conditionalFormatting xmlns:xm="http://schemas.microsoft.com/office/excel/2006/main">
          <x14:cfRule type="expression" priority="4" id="{C5D13470-C140-4E3B-B0EC-9F656D86E3C5}">
            <xm:f>AND('Inputs NAV'!$C$6="No",'Inputs NAV'!$C$7="No")</xm:f>
            <x14:dxf>
              <font>
                <color theme="1" tint="0.499984740745262"/>
              </font>
              <fill>
                <patternFill>
                  <bgColor theme="1" tint="0.499984740745262"/>
                </patternFill>
              </fill>
            </x14:dxf>
          </x14:cfRule>
          <xm:sqref>E1:H1 C1:C26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29ED0-303D-4C6D-AC40-047D3D415361}">
  <dimension ref="A2:B16"/>
  <sheetViews>
    <sheetView workbookViewId="0">
      <selection activeCell="A7" sqref="A7"/>
    </sheetView>
  </sheetViews>
  <sheetFormatPr defaultRowHeight="14" x14ac:dyDescent="0.3"/>
  <sheetData>
    <row r="2" spans="1:2" x14ac:dyDescent="0.3">
      <c r="A2" s="1" t="s">
        <v>189</v>
      </c>
    </row>
    <row r="3" spans="1:2" x14ac:dyDescent="0.3">
      <c r="A3" t="s">
        <v>39</v>
      </c>
    </row>
    <row r="4" spans="1:2" x14ac:dyDescent="0.3">
      <c r="A4" t="s">
        <v>48</v>
      </c>
    </row>
    <row r="6" spans="1:2" x14ac:dyDescent="0.3">
      <c r="A6" s="1" t="s">
        <v>116</v>
      </c>
    </row>
    <row r="7" spans="1:2" x14ac:dyDescent="0.3">
      <c r="A7" s="13">
        <v>5.5E-2</v>
      </c>
    </row>
    <row r="9" spans="1:2" x14ac:dyDescent="0.3">
      <c r="A9" s="1" t="s">
        <v>190</v>
      </c>
    </row>
    <row r="10" spans="1:2" x14ac:dyDescent="0.3">
      <c r="A10" s="37">
        <v>0.95</v>
      </c>
    </row>
    <row r="12" spans="1:2" x14ac:dyDescent="0.3">
      <c r="A12" s="1" t="s">
        <v>191</v>
      </c>
    </row>
    <row r="13" spans="1:2" x14ac:dyDescent="0.3">
      <c r="A13">
        <f>10/(260*365.25)</f>
        <v>1.0530195335123467E-4</v>
      </c>
      <c r="B13" t="s">
        <v>63</v>
      </c>
    </row>
    <row r="15" spans="1:2" x14ac:dyDescent="0.3">
      <c r="A15" s="1" t="s">
        <v>192</v>
      </c>
    </row>
    <row r="16" spans="1:2" x14ac:dyDescent="0.3">
      <c r="A16" s="94">
        <f>10/(130*365.25)</f>
        <v>2.1060390670246933E-4</v>
      </c>
      <c r="B16" t="s">
        <v>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4edf6b4f3f544e384b64d978a1f67b2 xmlns="138e79af-97e9-467e-b691-fc96845a50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Economic Regulation</TermName>
          <TermId xmlns="http://schemas.microsoft.com/office/infopath/2007/PartnerControls">9d1f07e6-d38a-4e6b-aa9c-a7e746eb7d52</TermId>
        </TermInfo>
      </Terms>
    </j4edf6b4f3f544e384b64d978a1f67b2>
    <k94c296b492b44bc889d28a500be294d xmlns="138e79af-97e9-467e-b691-fc96845a506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2025-26</TermName>
          <TermId xmlns="http://schemas.microsoft.com/office/infopath/2007/PartnerControls">377bce37-9868-40b7-bd03-0047810cc254</TermId>
        </TermInfo>
      </Terms>
    </k94c296b492b44bc889d28a500be294d>
    <_ip_UnifiedCompliancePolicyUIAction xmlns="http://schemas.microsoft.com/sharepoint/v3" xsi:nil="true"/>
    <Document_x0020_Date xmlns="138e79af-97e9-467e-b691-fc96845a5065" xsi:nil="true"/>
    <ArchiveDate xmlns="138e79af-97e9-467e-b691-fc96845a5065" xsi:nil="true"/>
    <e3bbe34e58ad4508899d7e8e5a3222d7 xmlns="138e79af-97e9-467e-b691-fc96845a5065">
      <Terms xmlns="http://schemas.microsoft.com/office/infopath/2007/PartnerControls"/>
    </e3bbe34e58ad4508899d7e8e5a3222d7>
    <h6fd30890b6d4f3982eb23db950b758d xmlns="138e79af-97e9-467e-b691-fc96845a5065">
      <Terms xmlns="http://schemas.microsoft.com/office/infopath/2007/PartnerControls"/>
    </h6fd30890b6d4f3982eb23db950b758d>
    <KpiDescription xmlns="http://schemas.microsoft.com/sharepoint/v3" xsi:nil="true"/>
    <Sub_x002d_heading xmlns="8d0533c5-b8ff-40f6-87d4-d0eca916023e">NAV charges</Sub_x002d_heading>
    <_ip_UnifiedCompliancePolicyProperties xmlns="http://schemas.microsoft.com/sharepoint/v3" xsi:nil="true"/>
    <od2f647b84b1401a9186c324d297acef xmlns="138e79af-97e9-467e-b691-fc96845a5065">
      <Terms xmlns="http://schemas.microsoft.com/office/infopath/2007/PartnerControls"/>
    </od2f647b84b1401a9186c324d297acef>
    <a3636f413ca84f4aa007a658eddb4a33 xmlns="138e79af-97e9-467e-b691-fc96845a5065">
      <Terms xmlns="http://schemas.microsoft.com/office/infopath/2007/PartnerControls"/>
    </a3636f413ca84f4aa007a658eddb4a33>
    <Reference xmlns="138e79af-97e9-467e-b691-fc96845a5065" xsi:nil="true"/>
    <TaxCatchAll xmlns="138e79af-97e9-467e-b691-fc96845a5065">
      <Value>122</Value>
      <Value>2811</Value>
    </TaxCatchAll>
    <IsSecure xmlns="138e79af-97e9-467e-b691-fc96845a5065">No</IsSecure>
    <_dlc_DocId xmlns="9390b88a-687a-4926-b94c-e3ac1c4de516">CORPGOV-432761261-1232</_dlc_DocId>
    <_dlc_DocIdUrl xmlns="9390b88a-687a-4926-b94c-e3ac1c4de516">
      <Url>https://wessexwater.sharepoint.com/sites/SC0003/F013/_layouts/15/DocIdRedir.aspx?ID=CORPGOV-432761261-1232</Url>
      <Description>CORPGOV-432761261-1232</Description>
    </_dlc_DocIdUrl>
    <SharedWithUsers xmlns="db5a98da-cae3-496a-ade7-6a2c7b00b148">
      <UserInfo>
        <DisplayName>Harriet Cutts</DisplayName>
        <AccountId>20928</AccountId>
        <AccountType/>
      </UserInfo>
      <UserInfo>
        <DisplayName>Joshua Burks Way</DisplayName>
        <AccountId>1140</AccountId>
        <AccountType/>
      </UserInfo>
      <UserInfo>
        <DisplayName>Rachel Stevens</DisplayName>
        <AccountId>923</AccountId>
        <AccountType/>
      </UserInfo>
      <UserInfo>
        <DisplayName>Sean Larkin</DisplayName>
        <AccountId>9010</AccountId>
        <AccountType/>
      </UserInfo>
      <UserInfo>
        <DisplayName>Kerrie Moon</DisplayName>
        <AccountId>486</AccountId>
        <AccountType/>
      </UserInfo>
      <UserInfo>
        <DisplayName>Lauren Musselwhite</DisplayName>
        <AccountId>1210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5893317c-9bf8-4bcb-b153-30688475ad4b" ContentTypeId="0x010100DEF460391E80A2479A3051B62F5365DD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Document" ma:contentTypeID="0x010100DEF460391E80A2479A3051B62F5365DD000631392D0B2C8A49B81ED67DB89A8C8B" ma:contentTypeVersion="190" ma:contentTypeDescription="" ma:contentTypeScope="" ma:versionID="124a62a12a92802773e311533316a345">
  <xsd:schema xmlns:xsd="http://www.w3.org/2001/XMLSchema" xmlns:xs="http://www.w3.org/2001/XMLSchema" xmlns:p="http://schemas.microsoft.com/office/2006/metadata/properties" xmlns:ns1="http://schemas.microsoft.com/sharepoint/v3" xmlns:ns2="138e79af-97e9-467e-b691-fc96845a5065" xmlns:ns3="9390b88a-687a-4926-b94c-e3ac1c4de516" xmlns:ns4="8d0533c5-b8ff-40f6-87d4-d0eca916023e" xmlns:ns5="db5a98da-cae3-496a-ade7-6a2c7b00b148" targetNamespace="http://schemas.microsoft.com/office/2006/metadata/properties" ma:root="true" ma:fieldsID="6f1c98b13518eaef0d099b8594b7a9b0" ns1:_="" ns2:_="" ns3:_="" ns4:_="" ns5:_="">
    <xsd:import namespace="http://schemas.microsoft.com/sharepoint/v3"/>
    <xsd:import namespace="138e79af-97e9-467e-b691-fc96845a5065"/>
    <xsd:import namespace="9390b88a-687a-4926-b94c-e3ac1c4de516"/>
    <xsd:import namespace="8d0533c5-b8ff-40f6-87d4-d0eca916023e"/>
    <xsd:import namespace="db5a98da-cae3-496a-ade7-6a2c7b00b148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Reference" minOccurs="0"/>
                <xsd:element ref="ns2:j4edf6b4f3f544e384b64d978a1f67b2" minOccurs="0"/>
                <xsd:element ref="ns2:e3bbe34e58ad4508899d7e8e5a3222d7" minOccurs="0"/>
                <xsd:element ref="ns2:a3636f413ca84f4aa007a658eddb4a33" minOccurs="0"/>
                <xsd:element ref="ns2:TaxCatchAll" minOccurs="0"/>
                <xsd:element ref="ns2:od2f647b84b1401a9186c324d297acef" minOccurs="0"/>
                <xsd:element ref="ns2:TaxCatchAllLabel" minOccurs="0"/>
                <xsd:element ref="ns2:ArchiveDate" minOccurs="0"/>
                <xsd:element ref="ns2:IsSecure" minOccurs="0"/>
                <xsd:element ref="ns3:_dlc_DocId" minOccurs="0"/>
                <xsd:element ref="ns3:_dlc_DocIdUrl" minOccurs="0"/>
                <xsd:element ref="ns3:_dlc_DocIdPersistId" minOccurs="0"/>
                <xsd:element ref="ns2:k94c296b492b44bc889d28a500be294d" minOccurs="0"/>
                <xsd:element ref="ns4:Sub_x002d_heading"/>
                <xsd:element ref="ns4:MediaServiceMetadata" minOccurs="0"/>
                <xsd:element ref="ns4:MediaServiceFastMetadata" minOccurs="0"/>
                <xsd:element ref="ns5:SharedWithUsers" minOccurs="0"/>
                <xsd:element ref="ns5:SharedWithDetails" minOccurs="0"/>
                <xsd:element ref="ns1:KpiDescription" minOccurs="0"/>
                <xsd:element ref="ns2:h6fd30890b6d4f3982eb23db950b758d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ServiceObjectDetectorVersions" minOccurs="0"/>
                <xsd:element ref="ns4:MediaServiceSearchPropertie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Description" ma:index="33" nillable="true" ma:displayName="Description" ma:description="The description provides information about the purpose of the goal." ma:internalName="KpiDescription">
      <xsd:simpleType>
        <xsd:restriction base="dms:Note">
          <xsd:maxLength value="255"/>
        </xsd:restriction>
      </xsd:simpleType>
    </xsd:element>
    <xsd:element name="_ip_UnifiedCompliancePolicyProperties" ma:index="3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3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8e79af-97e9-467e-b691-fc96845a5065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6" nillable="true" ma:displayName="Document Date" ma:format="DateOnly" ma:hidden="true" ma:internalName="Document_x0020_Date" ma:readOnly="false">
      <xsd:simpleType>
        <xsd:restriction base="dms:DateTime"/>
      </xsd:simpleType>
    </xsd:element>
    <xsd:element name="Reference" ma:index="7" nillable="true" ma:displayName="Your Ref" ma:hidden="true" ma:internalName="Reference" ma:readOnly="false">
      <xsd:simpleType>
        <xsd:restriction base="dms:Text">
          <xsd:maxLength value="255"/>
        </xsd:restriction>
      </xsd:simpleType>
    </xsd:element>
    <xsd:element name="j4edf6b4f3f544e384b64d978a1f67b2" ma:index="8" nillable="true" ma:taxonomy="true" ma:internalName="j4edf6b4f3f544e384b64d978a1f67b2" ma:taxonomyFieldName="Function" ma:displayName="Function" ma:readOnly="false" ma:default="122;#Economic Regulation|9d1f07e6-d38a-4e6b-aa9c-a7e746eb7d52" ma:fieldId="{34edf6b4-f3f5-44e3-84b6-4d978a1f67b2}" ma:sspId="5893317c-9bf8-4bcb-b153-30688475ad4b" ma:termSetId="c39e38bd-6647-4c32-a909-e6ecd4d8b9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bbe34e58ad4508899d7e8e5a3222d7" ma:index="11" nillable="true" ma:taxonomy="true" ma:internalName="e3bbe34e58ad4508899d7e8e5a3222d7" ma:taxonomyFieldName="Site_x0020_Id" ma:displayName="Site ID" ma:readOnly="false" ma:default="" ma:fieldId="{e3bbe34e-58ad-4508-899d-7e8e5a3222d7}" ma:taxonomyMulti="true" ma:sspId="5893317c-9bf8-4bcb-b153-30688475ad4b" ma:termSetId="5ab2ef19-8632-4b0d-9624-53eb1399cbe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636f413ca84f4aa007a658eddb4a33" ma:index="15" nillable="true" ma:taxonomy="true" ma:internalName="a3636f413ca84f4aa007a658eddb4a33" ma:taxonomyFieldName="Document_x0020_Type" ma:displayName="Document Type" ma:readOnly="false" ma:default="" ma:fieldId="{a3636f41-3ca8-4f4a-a007-a658eddb4a33}" ma:sspId="5893317c-9bf8-4bcb-b153-30688475ad4b" ma:termSetId="631b5733-5b06-4855-b308-fb3edae270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description="" ma:hidden="true" ma:list="{ab0309ff-54e4-4510-b21a-3153f497a541}" ma:internalName="TaxCatchAll" ma:showField="CatchAllData" ma:web="9390b88a-687a-4926-b94c-e3ac1c4de5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d2f647b84b1401a9186c324d297acef" ma:index="18" nillable="true" ma:taxonomy="true" ma:internalName="od2f647b84b1401a9186c324d297acef" ma:taxonomyFieldName="LoB" ma:displayName="Line of Business" ma:readOnly="false" ma:default="" ma:fieldId="{8d2f647b-84b1-401a-9186-c324d297acef}" ma:sspId="5893317c-9bf8-4bcb-b153-30688475ad4b" ma:termSetId="79dca51d-bc7d-4cf2-a948-8ea74c5b36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9" nillable="true" ma:displayName="Taxonomy Catch All Column1" ma:description="" ma:hidden="true" ma:list="{ab0309ff-54e4-4510-b21a-3153f497a541}" ma:internalName="TaxCatchAllLabel" ma:readOnly="true" ma:showField="CatchAllDataLabel" ma:web="9390b88a-687a-4926-b94c-e3ac1c4de5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rchiveDate" ma:index="20" nillable="true" ma:displayName="Archive Date" ma:format="DateOnly" ma:hidden="true" ma:internalName="ArchiveDate" ma:readOnly="false">
      <xsd:simpleType>
        <xsd:restriction base="dms:DateTime"/>
      </xsd:simpleType>
    </xsd:element>
    <xsd:element name="IsSecure" ma:index="22" nillable="true" ma:displayName="IsSecure" ma:default="No" ma:format="Dropdown" ma:hidden="true" ma:internalName="IsSecure" ma:readOnly="false">
      <xsd:simpleType>
        <xsd:restriction base="dms:Choice">
          <xsd:enumeration value="No"/>
          <xsd:enumeration value="Yes"/>
        </xsd:restriction>
      </xsd:simpleType>
    </xsd:element>
    <xsd:element name="k94c296b492b44bc889d28a500be294d" ma:index="27" ma:taxonomy="true" ma:internalName="k94c296b492b44bc889d28a500be294d" ma:taxonomyFieldName="Financial_x0020_Year" ma:displayName="Financial Year" ma:readOnly="false" ma:default="" ma:fieldId="{494c296b-492b-44bc-889d-28a500be294d}" ma:sspId="5893317c-9bf8-4bcb-b153-30688475ad4b" ma:termSetId="07cda45b-da65-466b-a628-ab4ad4e2748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fd30890b6d4f3982eb23db950b758d" ma:index="34" nillable="true" ma:taxonomy="true" ma:internalName="h6fd30890b6d4f3982eb23db950b758d" ma:taxonomyFieldName="Project" ma:displayName="Project" ma:default="" ma:fieldId="{16fd3089-0b6d-4f39-82eb-23db950b758d}" ma:sspId="5893317c-9bf8-4bcb-b153-30688475ad4b" ma:termSetId="d12af513-19c6-44db-9300-070ceb89391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0b88a-687a-4926-b94c-e3ac1c4de516" elementFormDefault="qualified">
    <xsd:import namespace="http://schemas.microsoft.com/office/2006/documentManagement/types"/>
    <xsd:import namespace="http://schemas.microsoft.com/office/infopath/2007/PartnerControls"/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33c5-b8ff-40f6-87d4-d0eca916023e" elementFormDefault="qualified">
    <xsd:import namespace="http://schemas.microsoft.com/office/2006/documentManagement/types"/>
    <xsd:import namespace="http://schemas.microsoft.com/office/infopath/2007/PartnerControls"/>
    <xsd:element name="Sub_x002d_heading" ma:index="28" ma:displayName="Sub-heading" ma:format="Dropdown" ma:internalName="Sub_x002d_heading">
      <xsd:simpleType>
        <xsd:restriction base="dms:Choice">
          <xsd:enumeration value="Allowed Revenues"/>
          <xsd:enumeration value="Assurance"/>
          <xsd:enumeration value="Board papers"/>
          <xsd:enumeration value="Charges schemes"/>
          <xsd:enumeration value="Differential calcs"/>
          <xsd:enumeration value="Engagement"/>
          <xsd:enumeration value="Miscellaneous charges"/>
          <xsd:enumeration value="NAV charges"/>
          <xsd:enumeration value="Ofwat documents"/>
          <xsd:enumeration value="PS calc"/>
          <xsd:enumeration value="Publication - January"/>
          <xsd:enumeration value="Publication - July"/>
          <xsd:enumeration value="Publication - October"/>
          <xsd:enumeration value="Special agreements"/>
          <xsd:enumeration value="Strategy"/>
          <xsd:enumeration value="Provenance"/>
          <xsd:enumeration value="Social Tariffs"/>
          <xsd:enumeration value="Certification"/>
          <xsd:enumeration value="Access Prices"/>
          <xsd:enumeration value="Other Company Schemes"/>
          <xsd:enumeration value="Bioresources"/>
          <xsd:enumeration value="Paying Fair"/>
        </xsd:restriction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a98da-cae3-496a-ade7-6a2c7b00b148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96C80-F2EA-4D34-9223-52F31EE33D8B}">
  <ds:schemaRefs>
    <ds:schemaRef ds:uri="db5a98da-cae3-496a-ade7-6a2c7b00b148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8d0533c5-b8ff-40f6-87d4-d0eca916023e"/>
    <ds:schemaRef ds:uri="http://purl.org/dc/dcmitype/"/>
    <ds:schemaRef ds:uri="9390b88a-687a-4926-b94c-e3ac1c4de516"/>
    <ds:schemaRef ds:uri="138e79af-97e9-467e-b691-fc96845a5065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AB715CD-9088-4A81-AF73-47C5F116E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B59E04-F708-4DA1-861C-4964F3E5B25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5247709-DB05-438E-B82C-D8E806917FF7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C4A5E3A2-2054-4436-949F-B45336C75F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8e79af-97e9-467e-b691-fc96845a5065"/>
    <ds:schemaRef ds:uri="9390b88a-687a-4926-b94c-e3ac1c4de516"/>
    <ds:schemaRef ds:uri="8d0533c5-b8ff-40f6-87d4-d0eca916023e"/>
    <ds:schemaRef ds:uri="db5a98da-cae3-496a-ade7-6a2c7b00b1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sheet</vt:lpstr>
      <vt:lpstr>Instructions</vt:lpstr>
      <vt:lpstr>Inputs NAV</vt:lpstr>
      <vt:lpstr>Summary of inputs</vt:lpstr>
      <vt:lpstr>Charges schedule</vt:lpstr>
      <vt:lpstr>Water calc</vt:lpstr>
      <vt:lpstr>Wastewater calc</vt:lpstr>
      <vt:lpstr>Outputs 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Burks Way</dc:creator>
  <cp:keywords/>
  <dc:description/>
  <cp:lastModifiedBy>Will Chivers</cp:lastModifiedBy>
  <cp:revision/>
  <dcterms:created xsi:type="dcterms:W3CDTF">2022-11-07T11:33:10Z</dcterms:created>
  <dcterms:modified xsi:type="dcterms:W3CDTF">2025-01-27T17:32:15Z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0x010100DEF460391E80A2479A3051B62F5365DD000631392D0B2C8A49B81ED67DB89A8C8B</vt:lpwstr>
  </property>
  <property fmtid="{D5CDD505-2E9C-101B-9397-08002B2CF9AE}" pid="3" name="Project">
    <vt:lpwstr/>
  </property>
  <property fmtid="{D5CDD505-2E9C-101B-9397-08002B2CF9AE}" pid="4" name="LoB">
    <vt:lpwstr/>
  </property>
  <property fmtid="{D5CDD505-2E9C-101B-9397-08002B2CF9AE}" pid="5" name="Function">
    <vt:lpwstr>122;#Economic Regulation|9d1f07e6-d38a-4e6b-aa9c-a7e746eb7d52</vt:lpwstr>
  </property>
  <property fmtid="{D5CDD505-2E9C-101B-9397-08002B2CF9AE}" pid="6" name="Financial Year">
    <vt:lpwstr>2811</vt:lpwstr>
  </property>
  <property fmtid="{D5CDD505-2E9C-101B-9397-08002B2CF9AE}" pid="7" name="Document Type">
    <vt:lpwstr/>
  </property>
  <property fmtid="{D5CDD505-2E9C-101B-9397-08002B2CF9AE}" pid="8" name="Site Id">
    <vt:lpwstr/>
  </property>
  <property fmtid="{D5CDD505-2E9C-101B-9397-08002B2CF9AE}" pid="9" name="_dlc_DocIdItemGuid">
    <vt:lpwstr>b8cd796a-cc47-460b-8ee7-168d3482a4a6</vt:lpwstr>
  </property>
  <property fmtid="{D5CDD505-2E9C-101B-9397-08002B2CF9AE}" pid="10" name="Financial_x0020_Year">
    <vt:lpwstr>2811</vt:lpwstr>
  </property>
  <property fmtid="{D5CDD505-2E9C-101B-9397-08002B2CF9AE}" pid="11" name="Document_x0020_Type">
    <vt:lpwstr/>
  </property>
  <property fmtid="{D5CDD505-2E9C-101B-9397-08002B2CF9AE}" pid="12" name="Site_x0020_Id">
    <vt:lpwstr/>
  </property>
</Properties>
</file>